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31884e92771e6bb/EXCEL TEMPLATES/"/>
    </mc:Choice>
  </mc:AlternateContent>
  <bookViews>
    <workbookView xWindow="0" yWindow="0" windowWidth="28800" windowHeight="13590" activeTab="2"/>
  </bookViews>
  <sheets>
    <sheet name="Fin Stmt" sheetId="9" r:id="rId1"/>
    <sheet name="Mkt Val without BOP" sheetId="10" r:id="rId2"/>
    <sheet name="Mkt Val with BOP and required r" sheetId="12" r:id="rId3"/>
    <sheet name="Tax Schedule" sheetId="11" r:id="rId4"/>
    <sheet name="Fin Stmt - Val Only" sheetId="13" r:id="rId5"/>
    <sheet name="Val Matrix - WACC" sheetId="16" r:id="rId6"/>
    <sheet name="Val Matrix - Investor r" sheetId="1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7" i="12" l="1"/>
  <c r="X37" i="12"/>
  <c r="Z32" i="12"/>
  <c r="Z31" i="12"/>
  <c r="Z30" i="12"/>
  <c r="Z29" i="12"/>
  <c r="Z28" i="12"/>
  <c r="T32" i="12"/>
  <c r="T31" i="12"/>
  <c r="T30" i="12"/>
  <c r="T29" i="12"/>
  <c r="T28" i="12"/>
  <c r="W28" i="12"/>
  <c r="W32" i="12"/>
  <c r="W31" i="12"/>
  <c r="W30" i="12"/>
  <c r="W29" i="12"/>
  <c r="N3" i="16" l="1"/>
  <c r="AD33" i="16" l="1"/>
  <c r="I11" i="16"/>
  <c r="E26" i="16" s="1"/>
  <c r="L4" i="16"/>
  <c r="L5" i="16" s="1"/>
  <c r="L6" i="16" s="1"/>
  <c r="L7" i="16" s="1"/>
  <c r="L8" i="16" s="1"/>
  <c r="L9" i="16" s="1"/>
  <c r="F26" i="16" l="1"/>
  <c r="G26" i="16" s="1"/>
  <c r="D26" i="16"/>
  <c r="C26" i="16" s="1"/>
  <c r="AE33" i="16"/>
  <c r="AF33" i="16" s="1"/>
  <c r="AC33" i="16"/>
  <c r="AB33" i="16" s="1"/>
  <c r="M19" i="16"/>
  <c r="M47" i="16"/>
  <c r="E40" i="16"/>
  <c r="E47" i="16"/>
  <c r="AD47" i="16"/>
  <c r="V40" i="16"/>
  <c r="M33" i="16"/>
  <c r="AD40" i="16"/>
  <c r="E33" i="16"/>
  <c r="V47" i="16"/>
  <c r="V33" i="16"/>
  <c r="V26" i="16"/>
  <c r="M26" i="16"/>
  <c r="E19" i="16"/>
  <c r="M40" i="16"/>
  <c r="AD26" i="16"/>
  <c r="V19" i="16"/>
  <c r="AD19" i="16"/>
  <c r="N26" i="16" l="1"/>
  <c r="O26" i="16" s="1"/>
  <c r="L26" i="16"/>
  <c r="K26" i="16" s="1"/>
  <c r="L40" i="16"/>
  <c r="K40" i="16" s="1"/>
  <c r="N40" i="16"/>
  <c r="O40" i="16" s="1"/>
  <c r="U33" i="16"/>
  <c r="T33" i="16" s="1"/>
  <c r="W33" i="16"/>
  <c r="X33" i="16" s="1"/>
  <c r="L33" i="16"/>
  <c r="K33" i="16" s="1"/>
  <c r="N33" i="16"/>
  <c r="O33" i="16" s="1"/>
  <c r="F40" i="16"/>
  <c r="G40" i="16" s="1"/>
  <c r="D40" i="16"/>
  <c r="C40" i="16" s="1"/>
  <c r="L19" i="16"/>
  <c r="K19" i="16" s="1"/>
  <c r="N19" i="16"/>
  <c r="O19" i="16" s="1"/>
  <c r="U19" i="16"/>
  <c r="T19" i="16" s="1"/>
  <c r="W19" i="16"/>
  <c r="X19" i="16" s="1"/>
  <c r="F33" i="16"/>
  <c r="G33" i="16" s="1"/>
  <c r="D33" i="16"/>
  <c r="C33" i="16" s="1"/>
  <c r="AE47" i="16"/>
  <c r="AF47" i="16" s="1"/>
  <c r="AC47" i="16"/>
  <c r="AB47" i="16" s="1"/>
  <c r="AC26" i="16"/>
  <c r="AB26" i="16" s="1"/>
  <c r="AE26" i="16"/>
  <c r="AF26" i="16" s="1"/>
  <c r="U26" i="16"/>
  <c r="T26" i="16" s="1"/>
  <c r="W26" i="16"/>
  <c r="X26" i="16" s="1"/>
  <c r="AE40" i="16"/>
  <c r="AF40" i="16" s="1"/>
  <c r="AC40" i="16"/>
  <c r="AB40" i="16" s="1"/>
  <c r="F47" i="16"/>
  <c r="G47" i="16" s="1"/>
  <c r="D47" i="16"/>
  <c r="C47" i="16" s="1"/>
  <c r="AE19" i="16"/>
  <c r="AF19" i="16" s="1"/>
  <c r="AC19" i="16"/>
  <c r="AB19" i="16" s="1"/>
  <c r="L13" i="16"/>
  <c r="F19" i="16"/>
  <c r="D19" i="16"/>
  <c r="U47" i="16"/>
  <c r="T47" i="16" s="1"/>
  <c r="W47" i="16"/>
  <c r="X47" i="16" s="1"/>
  <c r="U40" i="16"/>
  <c r="T40" i="16" s="1"/>
  <c r="W40" i="16"/>
  <c r="X40" i="16" s="1"/>
  <c r="L47" i="16"/>
  <c r="K47" i="16" s="1"/>
  <c r="N47" i="16"/>
  <c r="O47" i="16" s="1"/>
  <c r="I10" i="14"/>
  <c r="D4" i="12"/>
  <c r="S43" i="14" l="1"/>
  <c r="S50" i="14"/>
  <c r="S29" i="14"/>
  <c r="C19" i="16"/>
  <c r="L12" i="16"/>
  <c r="G19" i="16"/>
  <c r="L14" i="16"/>
  <c r="S36" i="14"/>
  <c r="S22" i="14"/>
  <c r="B50" i="14"/>
  <c r="S37" i="14"/>
  <c r="S38" i="14" s="1"/>
  <c r="S35" i="14"/>
  <c r="S34" i="14" s="1"/>
  <c r="AA36" i="14"/>
  <c r="AA35" i="14" s="1"/>
  <c r="J43" i="14"/>
  <c r="B29" i="14"/>
  <c r="J50" i="14"/>
  <c r="B43" i="14"/>
  <c r="J29" i="14"/>
  <c r="J22" i="14"/>
  <c r="AA43" i="14"/>
  <c r="AA50" i="14"/>
  <c r="AA49" i="14" s="1"/>
  <c r="AA29" i="14"/>
  <c r="AA28" i="14" s="1"/>
  <c r="AA22" i="14"/>
  <c r="AA21" i="14" s="1"/>
  <c r="I16" i="12"/>
  <c r="T3" i="14" s="1"/>
  <c r="J15" i="9"/>
  <c r="I4" i="12"/>
  <c r="P10" i="9"/>
  <c r="D16" i="12" s="1"/>
  <c r="O3" i="14" s="1"/>
  <c r="E11" i="9"/>
  <c r="E17" i="9"/>
  <c r="K38" i="9" s="1"/>
  <c r="K10" i="9"/>
  <c r="D7" i="12"/>
  <c r="E16" i="12"/>
  <c r="F16" i="12"/>
  <c r="G16" i="12"/>
  <c r="D6" i="12"/>
  <c r="E38" i="9"/>
  <c r="L16" i="12" s="1"/>
  <c r="L17" i="12" s="1"/>
  <c r="L18" i="12" s="1"/>
  <c r="L19" i="12" s="1"/>
  <c r="L20" i="12" s="1"/>
  <c r="L21" i="12" s="1"/>
  <c r="K28" i="9"/>
  <c r="K32" i="9" s="1"/>
  <c r="K60" i="9"/>
  <c r="K56" i="9"/>
  <c r="K59" i="9" s="1"/>
  <c r="K61" i="9" s="1"/>
  <c r="J64" i="9" s="1"/>
  <c r="K58" i="9"/>
  <c r="F30" i="9"/>
  <c r="J66" i="9" s="1"/>
  <c r="K46" i="9"/>
  <c r="K45" i="9"/>
  <c r="K44" i="9"/>
  <c r="B36" i="14"/>
  <c r="B35" i="14" s="1"/>
  <c r="B34" i="14" s="1"/>
  <c r="L4" i="14"/>
  <c r="L5" i="14" s="1"/>
  <c r="L6" i="14" s="1"/>
  <c r="L7" i="14" s="1"/>
  <c r="L8" i="14" s="1"/>
  <c r="L9" i="14" s="1"/>
  <c r="I11" i="14"/>
  <c r="J36" i="14"/>
  <c r="J35" i="14" s="1"/>
  <c r="B22" i="14"/>
  <c r="P16" i="9"/>
  <c r="E36" i="9"/>
  <c r="D8" i="12"/>
  <c r="H7" i="12" s="1"/>
  <c r="J7" i="12" s="1"/>
  <c r="A18" i="12"/>
  <c r="A19" i="12"/>
  <c r="A20" i="12" s="1"/>
  <c r="A21" i="12" s="1"/>
  <c r="B16" i="12"/>
  <c r="M3" i="16" s="1"/>
  <c r="N3" i="14"/>
  <c r="D11" i="9"/>
  <c r="J10" i="9"/>
  <c r="D38" i="9"/>
  <c r="E41" i="9" s="1"/>
  <c r="D17" i="9"/>
  <c r="J21" i="9"/>
  <c r="J37" i="9" s="1"/>
  <c r="J38" i="9"/>
  <c r="D15" i="10"/>
  <c r="O3" i="16" s="1"/>
  <c r="E15" i="10"/>
  <c r="P3" i="16" s="1"/>
  <c r="F15" i="10"/>
  <c r="G15" i="10"/>
  <c r="R3" i="16" s="1"/>
  <c r="D6" i="10"/>
  <c r="O8" i="10"/>
  <c r="D13" i="10" s="1"/>
  <c r="D4" i="10"/>
  <c r="I15" i="10"/>
  <c r="T3" i="16" s="1"/>
  <c r="I4" i="10"/>
  <c r="L15" i="10"/>
  <c r="W3" i="16" s="1"/>
  <c r="A17" i="10"/>
  <c r="A18" i="10" s="1"/>
  <c r="A19" i="10" s="1"/>
  <c r="A20" i="10" s="1"/>
  <c r="P22" i="9"/>
  <c r="O10" i="9"/>
  <c r="O16" i="9"/>
  <c r="D36" i="9" s="1"/>
  <c r="O22" i="9"/>
  <c r="J28" i="9"/>
  <c r="J32" i="9" s="1"/>
  <c r="A5" i="10"/>
  <c r="A5" i="12"/>
  <c r="O8" i="12"/>
  <c r="K15" i="9"/>
  <c r="J4" i="12"/>
  <c r="J3" i="12"/>
  <c r="I3" i="12"/>
  <c r="K35" i="9"/>
  <c r="J35" i="9"/>
  <c r="E16" i="11"/>
  <c r="E15" i="11"/>
  <c r="E14" i="11"/>
  <c r="E13" i="11"/>
  <c r="E12" i="11"/>
  <c r="E11" i="11"/>
  <c r="E10" i="11"/>
  <c r="E9" i="11"/>
  <c r="F9" i="11" s="1"/>
  <c r="J3" i="10"/>
  <c r="I3" i="10"/>
  <c r="B15" i="10"/>
  <c r="B26" i="10" s="1"/>
  <c r="D7" i="10"/>
  <c r="E45" i="9"/>
  <c r="E35" i="9"/>
  <c r="D35" i="9"/>
  <c r="E30" i="9"/>
  <c r="J23" i="9"/>
  <c r="K6" i="9"/>
  <c r="J6" i="9"/>
  <c r="E44" i="9"/>
  <c r="E43" i="9" s="1"/>
  <c r="J4" i="10"/>
  <c r="P18" i="9"/>
  <c r="P24" i="9"/>
  <c r="D23" i="9"/>
  <c r="E40" i="9"/>
  <c r="P38" i="9"/>
  <c r="P26" i="9"/>
  <c r="D50" i="9"/>
  <c r="D49" i="9"/>
  <c r="E39" i="9"/>
  <c r="K36" i="9"/>
  <c r="E37" i="9"/>
  <c r="E48" i="9"/>
  <c r="P33" i="9"/>
  <c r="E53" i="9"/>
  <c r="D5" i="12"/>
  <c r="D5" i="10"/>
  <c r="E54" i="9"/>
  <c r="K20" i="9"/>
  <c r="K21" i="9"/>
  <c r="K37" i="9"/>
  <c r="K23" i="9"/>
  <c r="E52" i="9"/>
  <c r="E47" i="9"/>
  <c r="E56" i="9" s="1"/>
  <c r="K41" i="9" l="1"/>
  <c r="J36" i="9"/>
  <c r="J39" i="9" s="1"/>
  <c r="D39" i="9"/>
  <c r="F10" i="11"/>
  <c r="F11" i="11" s="1"/>
  <c r="F12" i="11" s="1"/>
  <c r="F13" i="11" s="1"/>
  <c r="F14" i="11" s="1"/>
  <c r="F15" i="11" s="1"/>
  <c r="F16" i="11" s="1"/>
  <c r="E42" i="9"/>
  <c r="P43" i="9"/>
  <c r="P44" i="9" s="1"/>
  <c r="J65" i="9"/>
  <c r="J15" i="10"/>
  <c r="U3" i="16" s="1"/>
  <c r="K40" i="9"/>
  <c r="K42" i="9" s="1"/>
  <c r="J16" i="12"/>
  <c r="K39" i="9"/>
  <c r="K31" i="9"/>
  <c r="K30" i="9" s="1"/>
  <c r="M15" i="10"/>
  <c r="X3" i="16" s="1"/>
  <c r="M16" i="12"/>
  <c r="O18" i="9"/>
  <c r="O24" i="9" s="1"/>
  <c r="O26" i="9" s="1"/>
  <c r="E23" i="9"/>
  <c r="N13" i="9"/>
  <c r="F13" i="12"/>
  <c r="O26" i="10"/>
  <c r="Z3" i="16" s="1"/>
  <c r="G13" i="10"/>
  <c r="G16" i="10" s="1"/>
  <c r="R4" i="16" s="1"/>
  <c r="X3" i="14"/>
  <c r="B17" i="12"/>
  <c r="M4" i="16" s="1"/>
  <c r="W3" i="14"/>
  <c r="H16" i="12"/>
  <c r="S3" i="14" s="1"/>
  <c r="M3" i="14"/>
  <c r="E13" i="12"/>
  <c r="B27" i="12"/>
  <c r="R3" i="14"/>
  <c r="O27" i="12"/>
  <c r="Z3" i="14" s="1"/>
  <c r="I13" i="12"/>
  <c r="I17" i="12" s="1"/>
  <c r="O28" i="12" s="1"/>
  <c r="D17" i="12"/>
  <c r="F17" i="12" s="1"/>
  <c r="Q4" i="14" s="1"/>
  <c r="K16" i="12"/>
  <c r="V3" i="14" s="1"/>
  <c r="P3" i="14"/>
  <c r="G13" i="12"/>
  <c r="I10" i="12"/>
  <c r="J17" i="12" s="1"/>
  <c r="W5" i="14"/>
  <c r="W4" i="14"/>
  <c r="B28" i="12"/>
  <c r="B18" i="12"/>
  <c r="U3" i="14"/>
  <c r="D10" i="12"/>
  <c r="Q3" i="14"/>
  <c r="Y29" i="14"/>
  <c r="Y43" i="14"/>
  <c r="Y36" i="14"/>
  <c r="Y50" i="14"/>
  <c r="Y22" i="14"/>
  <c r="N16" i="12"/>
  <c r="E35" i="12"/>
  <c r="T4" i="14"/>
  <c r="M4" i="14"/>
  <c r="H15" i="10"/>
  <c r="S3" i="16" s="1"/>
  <c r="B16" i="10"/>
  <c r="D16" i="10"/>
  <c r="O4" i="16" s="1"/>
  <c r="M16" i="10"/>
  <c r="X4" i="16" s="1"/>
  <c r="L16" i="10"/>
  <c r="W4" i="16" s="1"/>
  <c r="E13" i="10"/>
  <c r="Q3" i="16"/>
  <c r="K15" i="10"/>
  <c r="F13" i="10"/>
  <c r="I10" i="10"/>
  <c r="I13" i="10"/>
  <c r="V47" i="14"/>
  <c r="V40" i="14"/>
  <c r="V26" i="14"/>
  <c r="S28" i="14"/>
  <c r="S27" i="14" s="1"/>
  <c r="S30" i="14"/>
  <c r="S31" i="14" s="1"/>
  <c r="S51" i="14"/>
  <c r="S52" i="14" s="1"/>
  <c r="S49" i="14"/>
  <c r="S48" i="14" s="1"/>
  <c r="S42" i="14"/>
  <c r="S41" i="14" s="1"/>
  <c r="S44" i="14"/>
  <c r="S45" i="14" s="1"/>
  <c r="L15" i="16"/>
  <c r="L11" i="16"/>
  <c r="B49" i="14"/>
  <c r="B48" i="14" s="1"/>
  <c r="B51" i="14"/>
  <c r="B52" i="14" s="1"/>
  <c r="V33" i="14"/>
  <c r="W33" i="14" s="1"/>
  <c r="X33" i="14" s="1"/>
  <c r="E47" i="14"/>
  <c r="V19" i="14"/>
  <c r="S23" i="14"/>
  <c r="S24" i="14" s="1"/>
  <c r="S21" i="14"/>
  <c r="S20" i="14" s="1"/>
  <c r="AA37" i="14"/>
  <c r="AA38" i="14" s="1"/>
  <c r="J21" i="14"/>
  <c r="J23" i="14"/>
  <c r="J24" i="14" s="1"/>
  <c r="M33" i="14"/>
  <c r="N33" i="14" s="1"/>
  <c r="O33" i="14" s="1"/>
  <c r="E40" i="14"/>
  <c r="E26" i="14"/>
  <c r="M40" i="14"/>
  <c r="M47" i="14"/>
  <c r="M26" i="14"/>
  <c r="M19" i="14"/>
  <c r="J51" i="14"/>
  <c r="J52" i="14" s="1"/>
  <c r="J49" i="14"/>
  <c r="J48" i="14" s="1"/>
  <c r="B30" i="14"/>
  <c r="B31" i="14" s="1"/>
  <c r="B28" i="14"/>
  <c r="B27" i="14" s="1"/>
  <c r="J30" i="14"/>
  <c r="J28" i="14"/>
  <c r="J27" i="14" s="1"/>
  <c r="J44" i="14"/>
  <c r="J42" i="14"/>
  <c r="B44" i="14"/>
  <c r="B45" i="14" s="1"/>
  <c r="B42" i="14"/>
  <c r="B41" i="14" s="1"/>
  <c r="J34" i="14"/>
  <c r="AA51" i="14"/>
  <c r="AA52" i="14" s="1"/>
  <c r="E33" i="14"/>
  <c r="D33" i="14" s="1"/>
  <c r="C33" i="14" s="1"/>
  <c r="AD40" i="14"/>
  <c r="AD47" i="14"/>
  <c r="AA44" i="14"/>
  <c r="AA45" i="14" s="1"/>
  <c r="AA42" i="14"/>
  <c r="AA41" i="14" s="1"/>
  <c r="AA48" i="14"/>
  <c r="AA30" i="14"/>
  <c r="E19" i="14"/>
  <c r="D19" i="14" s="1"/>
  <c r="C19" i="14" s="1"/>
  <c r="AA23" i="14"/>
  <c r="AA24" i="14" s="1"/>
  <c r="B37" i="14"/>
  <c r="B38" i="14" s="1"/>
  <c r="AD33" i="14"/>
  <c r="AC33" i="14" s="1"/>
  <c r="AB33" i="14" s="1"/>
  <c r="AD19" i="14"/>
  <c r="AD26" i="14"/>
  <c r="AA27" i="14"/>
  <c r="AA31" i="14"/>
  <c r="AA20" i="14"/>
  <c r="AA34" i="14"/>
  <c r="B21" i="14"/>
  <c r="B23" i="14"/>
  <c r="J37" i="14"/>
  <c r="D46" i="9" l="1"/>
  <c r="D52" i="9"/>
  <c r="J31" i="9"/>
  <c r="J30" i="9" s="1"/>
  <c r="D48" i="9"/>
  <c r="D51" i="9" s="1"/>
  <c r="D47" i="9"/>
  <c r="D53" i="9"/>
  <c r="O33" i="9"/>
  <c r="D54" i="9" s="1"/>
  <c r="E49" i="9"/>
  <c r="E46" i="9"/>
  <c r="E55" i="9" s="1"/>
  <c r="E50" i="9"/>
  <c r="D10" i="10"/>
  <c r="E34" i="10"/>
  <c r="M17" i="10"/>
  <c r="M17" i="12"/>
  <c r="AG37" i="16"/>
  <c r="AG23" i="16"/>
  <c r="H44" i="16"/>
  <c r="AG51" i="16"/>
  <c r="AG30" i="16"/>
  <c r="AG44" i="16"/>
  <c r="H44" i="14"/>
  <c r="AG44" i="14"/>
  <c r="S37" i="12"/>
  <c r="AG37" i="14"/>
  <c r="AG30" i="14"/>
  <c r="S36" i="10"/>
  <c r="AG51" i="14"/>
  <c r="AG23" i="14"/>
  <c r="C3" i="11"/>
  <c r="D3" i="11" s="1"/>
  <c r="J67" i="9"/>
  <c r="D17" i="10"/>
  <c r="F17" i="10" s="1"/>
  <c r="Q5" i="16" s="1"/>
  <c r="L17" i="10"/>
  <c r="L18" i="10" s="1"/>
  <c r="W6" i="16" s="1"/>
  <c r="O16" i="12"/>
  <c r="P16" i="12" s="1"/>
  <c r="Z4" i="14"/>
  <c r="P28" i="12"/>
  <c r="Q28" i="12" s="1"/>
  <c r="E17" i="12"/>
  <c r="P4" i="14" s="1"/>
  <c r="C17" i="12"/>
  <c r="I18" i="12" s="1"/>
  <c r="T5" i="14" s="1"/>
  <c r="D18" i="12"/>
  <c r="O4" i="14"/>
  <c r="W6" i="14"/>
  <c r="G17" i="12"/>
  <c r="R4" i="14" s="1"/>
  <c r="U4" i="14"/>
  <c r="Y3" i="14"/>
  <c r="Y27" i="12"/>
  <c r="I27" i="12"/>
  <c r="V27" i="12"/>
  <c r="S27" i="12"/>
  <c r="F27" i="12"/>
  <c r="L27" i="12"/>
  <c r="M5" i="16"/>
  <c r="B19" i="12"/>
  <c r="M5" i="14"/>
  <c r="B29" i="12"/>
  <c r="B17" i="10"/>
  <c r="B27" i="10"/>
  <c r="J16" i="10"/>
  <c r="C16" i="10" s="1"/>
  <c r="N4" i="16" s="1"/>
  <c r="E16" i="10"/>
  <c r="P4" i="16" s="1"/>
  <c r="W5" i="16"/>
  <c r="I16" i="10"/>
  <c r="F16" i="10"/>
  <c r="L19" i="10"/>
  <c r="V3" i="16"/>
  <c r="O15" i="10"/>
  <c r="N15" i="10"/>
  <c r="X5" i="16"/>
  <c r="M18" i="10"/>
  <c r="O5" i="16"/>
  <c r="J17" i="10"/>
  <c r="E17" i="10"/>
  <c r="P5" i="16" s="1"/>
  <c r="D18" i="10"/>
  <c r="W26" i="14"/>
  <c r="X26" i="14" s="1"/>
  <c r="U26" i="14"/>
  <c r="T26" i="14" s="1"/>
  <c r="U40" i="14"/>
  <c r="T40" i="14" s="1"/>
  <c r="W40" i="14"/>
  <c r="X40" i="14" s="1"/>
  <c r="U47" i="14"/>
  <c r="T47" i="14" s="1"/>
  <c r="W47" i="14"/>
  <c r="X47" i="14" s="1"/>
  <c r="U33" i="14"/>
  <c r="T33" i="14" s="1"/>
  <c r="W19" i="14"/>
  <c r="X19" i="14" s="1"/>
  <c r="U19" i="14"/>
  <c r="T19" i="14" s="1"/>
  <c r="F47" i="14"/>
  <c r="G47" i="14" s="1"/>
  <c r="D47" i="14"/>
  <c r="C47" i="14" s="1"/>
  <c r="B20" i="14"/>
  <c r="B24" i="14"/>
  <c r="L33" i="14"/>
  <c r="K33" i="14" s="1"/>
  <c r="J41" i="14"/>
  <c r="N19" i="14"/>
  <c r="O19" i="14" s="1"/>
  <c r="L19" i="14"/>
  <c r="K19" i="14" s="1"/>
  <c r="F26" i="14"/>
  <c r="G26" i="14" s="1"/>
  <c r="D26" i="14"/>
  <c r="C26" i="14" s="1"/>
  <c r="J20" i="14"/>
  <c r="J45" i="14"/>
  <c r="N26" i="14"/>
  <c r="O26" i="14" s="1"/>
  <c r="L26" i="14"/>
  <c r="K26" i="14" s="1"/>
  <c r="F40" i="14"/>
  <c r="G40" i="14" s="1"/>
  <c r="D40" i="14"/>
  <c r="C40" i="14" s="1"/>
  <c r="L47" i="14"/>
  <c r="K47" i="14" s="1"/>
  <c r="N47" i="14"/>
  <c r="O47" i="14" s="1"/>
  <c r="J31" i="14"/>
  <c r="N40" i="14"/>
  <c r="O40" i="14" s="1"/>
  <c r="L40" i="14"/>
  <c r="J38" i="14"/>
  <c r="F33" i="14"/>
  <c r="G33" i="14" s="1"/>
  <c r="L12" i="14"/>
  <c r="AC47" i="14"/>
  <c r="AB47" i="14" s="1"/>
  <c r="AE47" i="14"/>
  <c r="AF47" i="14" s="1"/>
  <c r="AC40" i="14"/>
  <c r="AB40" i="14" s="1"/>
  <c r="AE40" i="14"/>
  <c r="AF40" i="14" s="1"/>
  <c r="L11" i="14"/>
  <c r="L13" i="14"/>
  <c r="F19" i="14"/>
  <c r="L14" i="14" s="1"/>
  <c r="AE33" i="14"/>
  <c r="AF33" i="14" s="1"/>
  <c r="AE26" i="14"/>
  <c r="AF26" i="14" s="1"/>
  <c r="AC26" i="14"/>
  <c r="AB26" i="14" s="1"/>
  <c r="AE19" i="14"/>
  <c r="AF19" i="14" s="1"/>
  <c r="AC19" i="14"/>
  <c r="AB19" i="14" s="1"/>
  <c r="M18" i="12" l="1"/>
  <c r="X4" i="14"/>
  <c r="K66" i="9"/>
  <c r="K64" i="9"/>
  <c r="K67" i="9" s="1"/>
  <c r="K65" i="9"/>
  <c r="AA3" i="14"/>
  <c r="E51" i="9"/>
  <c r="D56" i="9"/>
  <c r="D55" i="9"/>
  <c r="G17" i="10"/>
  <c r="R5" i="16" s="1"/>
  <c r="U4" i="16"/>
  <c r="N4" i="14"/>
  <c r="D19" i="12"/>
  <c r="E18" i="12"/>
  <c r="P5" i="14" s="1"/>
  <c r="J18" i="12"/>
  <c r="F18" i="12"/>
  <c r="Q5" i="14" s="1"/>
  <c r="O5" i="14"/>
  <c r="G18" i="12"/>
  <c r="R5" i="14" s="1"/>
  <c r="K17" i="12"/>
  <c r="O17" i="12" s="1"/>
  <c r="O29" i="12"/>
  <c r="P29" i="12" s="1"/>
  <c r="Q29" i="12" s="1"/>
  <c r="H17" i="12"/>
  <c r="S4" i="14" s="1"/>
  <c r="M6" i="16"/>
  <c r="B20" i="12"/>
  <c r="B30" i="12"/>
  <c r="M6" i="14"/>
  <c r="C27" i="12"/>
  <c r="AB3" i="14"/>
  <c r="B28" i="10"/>
  <c r="B18" i="10"/>
  <c r="I17" i="10"/>
  <c r="O28" i="10" s="1"/>
  <c r="O6" i="16"/>
  <c r="E18" i="10"/>
  <c r="P6" i="16" s="1"/>
  <c r="D19" i="10"/>
  <c r="J18" i="10"/>
  <c r="G18" i="10"/>
  <c r="R6" i="16" s="1"/>
  <c r="W7" i="16"/>
  <c r="L20" i="10"/>
  <c r="T5" i="16"/>
  <c r="AA3" i="16"/>
  <c r="F18" i="10"/>
  <c r="Q6" i="16" s="1"/>
  <c r="X6" i="16"/>
  <c r="M19" i="10"/>
  <c r="K17" i="10"/>
  <c r="H17" i="10"/>
  <c r="S5" i="16" s="1"/>
  <c r="U5" i="16"/>
  <c r="C17" i="10"/>
  <c r="Y3" i="16"/>
  <c r="Y26" i="10"/>
  <c r="F26" i="10"/>
  <c r="L26" i="10"/>
  <c r="S26" i="10"/>
  <c r="V26" i="10"/>
  <c r="I26" i="10"/>
  <c r="Q4" i="16"/>
  <c r="K16" i="10"/>
  <c r="H16" i="10"/>
  <c r="S4" i="16" s="1"/>
  <c r="T4" i="16"/>
  <c r="O27" i="10"/>
  <c r="K40" i="14"/>
  <c r="G19" i="14"/>
  <c r="W7" i="14"/>
  <c r="K69" i="9" l="1"/>
  <c r="M19" i="12"/>
  <c r="X5" i="14"/>
  <c r="N17" i="12"/>
  <c r="F28" i="12" s="1"/>
  <c r="G28" i="12" s="1"/>
  <c r="H28" i="12" s="1"/>
  <c r="V4" i="14"/>
  <c r="K18" i="12"/>
  <c r="O18" i="12" s="1"/>
  <c r="P18" i="12" s="1"/>
  <c r="Z5" i="14"/>
  <c r="U5" i="14"/>
  <c r="C18" i="12"/>
  <c r="H18" i="12"/>
  <c r="S5" i="14" s="1"/>
  <c r="F19" i="12"/>
  <c r="Q6" i="14" s="1"/>
  <c r="D20" i="12"/>
  <c r="E19" i="12"/>
  <c r="P6" i="14" s="1"/>
  <c r="O6" i="14"/>
  <c r="G19" i="12"/>
  <c r="R6" i="14" s="1"/>
  <c r="J19" i="12"/>
  <c r="AA4" i="14"/>
  <c r="P17" i="12"/>
  <c r="AA5" i="14"/>
  <c r="M7" i="16"/>
  <c r="B21" i="12"/>
  <c r="B31" i="12"/>
  <c r="M7" i="14"/>
  <c r="B19" i="10"/>
  <c r="B29" i="10"/>
  <c r="H18" i="10"/>
  <c r="S6" i="16" s="1"/>
  <c r="X7" i="16"/>
  <c r="M20" i="10"/>
  <c r="Z5" i="16"/>
  <c r="O7" i="16"/>
  <c r="J19" i="10"/>
  <c r="D20" i="10"/>
  <c r="G19" i="10"/>
  <c r="R7" i="16" s="1"/>
  <c r="E19" i="10"/>
  <c r="P7" i="16" s="1"/>
  <c r="F19" i="10"/>
  <c r="Q7" i="16" s="1"/>
  <c r="V4" i="16"/>
  <c r="O16" i="10"/>
  <c r="N16" i="10"/>
  <c r="K18" i="10"/>
  <c r="Z4" i="16"/>
  <c r="N5" i="16"/>
  <c r="I18" i="10"/>
  <c r="V5" i="16"/>
  <c r="O17" i="10"/>
  <c r="N17" i="10"/>
  <c r="W8" i="16"/>
  <c r="W13" i="16"/>
  <c r="W14" i="16"/>
  <c r="W12" i="16"/>
  <c r="L21" i="10"/>
  <c r="W9" i="16" s="1"/>
  <c r="W15" i="16"/>
  <c r="W11" i="16"/>
  <c r="U6" i="16"/>
  <c r="C18" i="10"/>
  <c r="L15" i="14"/>
  <c r="W14" i="14"/>
  <c r="W13" i="14"/>
  <c r="W12" i="14"/>
  <c r="W11" i="14"/>
  <c r="W8" i="14"/>
  <c r="W15" i="14"/>
  <c r="L22" i="12"/>
  <c r="M20" i="12" l="1"/>
  <c r="X6" i="14"/>
  <c r="I10" i="16"/>
  <c r="D8" i="10"/>
  <c r="P16" i="10" s="1"/>
  <c r="S28" i="12"/>
  <c r="U28" i="12" s="1"/>
  <c r="L28" i="12"/>
  <c r="N18" i="12"/>
  <c r="I29" i="12" s="1"/>
  <c r="J29" i="12" s="1"/>
  <c r="M28" i="12"/>
  <c r="N28" i="12" s="1"/>
  <c r="I28" i="12"/>
  <c r="J28" i="12" s="1"/>
  <c r="K28" i="12" s="1"/>
  <c r="V28" i="12"/>
  <c r="X28" i="12" s="1"/>
  <c r="Y4" i="14"/>
  <c r="Y28" i="12"/>
  <c r="AA28" i="12" s="1"/>
  <c r="V5" i="14"/>
  <c r="U6" i="14"/>
  <c r="C19" i="12"/>
  <c r="N5" i="14"/>
  <c r="I19" i="12"/>
  <c r="H19" i="12"/>
  <c r="S6" i="14" s="1"/>
  <c r="F20" i="12"/>
  <c r="Q7" i="14" s="1"/>
  <c r="J20" i="12"/>
  <c r="D21" i="12"/>
  <c r="G20" i="12"/>
  <c r="R7" i="14" s="1"/>
  <c r="E20" i="12"/>
  <c r="P7" i="14" s="1"/>
  <c r="O7" i="14"/>
  <c r="K19" i="12"/>
  <c r="C28" i="12"/>
  <c r="D28" i="12" s="1"/>
  <c r="E28" i="12" s="1"/>
  <c r="AB4" i="14"/>
  <c r="AB5" i="14"/>
  <c r="C29" i="12"/>
  <c r="D29" i="12" s="1"/>
  <c r="M8" i="16"/>
  <c r="M8" i="14"/>
  <c r="B22" i="12"/>
  <c r="B32" i="12"/>
  <c r="B30" i="10"/>
  <c r="B20" i="10"/>
  <c r="T6" i="16"/>
  <c r="O29" i="10"/>
  <c r="H19" i="10"/>
  <c r="S7" i="16" s="1"/>
  <c r="N6" i="16"/>
  <c r="I19" i="10"/>
  <c r="Y5" i="16"/>
  <c r="L28" i="10"/>
  <c r="I28" i="10"/>
  <c r="F28" i="10"/>
  <c r="G28" i="10" s="1"/>
  <c r="S28" i="10"/>
  <c r="Y28" i="10"/>
  <c r="V28" i="10"/>
  <c r="Y4" i="16"/>
  <c r="V27" i="10"/>
  <c r="L27" i="10"/>
  <c r="Y27" i="10"/>
  <c r="F27" i="10"/>
  <c r="S27" i="10"/>
  <c r="I27" i="10"/>
  <c r="J27" i="10" s="1"/>
  <c r="K27" i="10" s="1"/>
  <c r="K19" i="10"/>
  <c r="AA5" i="16"/>
  <c r="AA4" i="16"/>
  <c r="U7" i="16"/>
  <c r="C19" i="10"/>
  <c r="X8" i="16"/>
  <c r="X13" i="16"/>
  <c r="X12" i="16"/>
  <c r="M21" i="10"/>
  <c r="X9" i="16" s="1"/>
  <c r="X14" i="16"/>
  <c r="X15" i="16"/>
  <c r="X11" i="16"/>
  <c r="V6" i="16"/>
  <c r="O18" i="10"/>
  <c r="N18" i="10"/>
  <c r="O8" i="16"/>
  <c r="O13" i="16"/>
  <c r="O14" i="16"/>
  <c r="G20" i="10"/>
  <c r="R8" i="16" s="1"/>
  <c r="O12" i="16"/>
  <c r="J20" i="10"/>
  <c r="D21" i="10"/>
  <c r="O11" i="16"/>
  <c r="O15" i="16"/>
  <c r="E20" i="10"/>
  <c r="P8" i="16" s="1"/>
  <c r="F20" i="10"/>
  <c r="Q8" i="16" s="1"/>
  <c r="W9" i="14"/>
  <c r="P17" i="10" l="1"/>
  <c r="T27" i="10"/>
  <c r="U27" i="10" s="1"/>
  <c r="Z28" i="10"/>
  <c r="J28" i="10"/>
  <c r="S22" i="16"/>
  <c r="S36" i="16"/>
  <c r="B50" i="16"/>
  <c r="S43" i="16"/>
  <c r="B36" i="16"/>
  <c r="S29" i="16"/>
  <c r="S50" i="16"/>
  <c r="AA36" i="16"/>
  <c r="J50" i="16"/>
  <c r="J36" i="16"/>
  <c r="AA29" i="16"/>
  <c r="AA22" i="16"/>
  <c r="J43" i="16"/>
  <c r="B43" i="16"/>
  <c r="J22" i="16"/>
  <c r="AA50" i="16"/>
  <c r="AA43" i="16"/>
  <c r="J29" i="16"/>
  <c r="B29" i="16"/>
  <c r="B22" i="16"/>
  <c r="W28" i="10"/>
  <c r="G27" i="10"/>
  <c r="H27" i="10" s="1"/>
  <c r="H28" i="10" s="1"/>
  <c r="W27" i="10"/>
  <c r="X27" i="10" s="1"/>
  <c r="X28" i="10" s="1"/>
  <c r="H7" i="10"/>
  <c r="P15" i="10"/>
  <c r="T28" i="10"/>
  <c r="M21" i="12"/>
  <c r="X7" i="14"/>
  <c r="K29" i="12"/>
  <c r="F29" i="12"/>
  <c r="G29" i="12" s="1"/>
  <c r="H29" i="12" s="1"/>
  <c r="L29" i="12"/>
  <c r="Y5" i="14"/>
  <c r="M29" i="12"/>
  <c r="N29" i="12" s="1"/>
  <c r="S29" i="12"/>
  <c r="U29" i="12" s="1"/>
  <c r="V29" i="12"/>
  <c r="X29" i="12" s="1"/>
  <c r="Y29" i="12"/>
  <c r="AA29" i="12" s="1"/>
  <c r="H20" i="12"/>
  <c r="S7" i="14" s="1"/>
  <c r="C20" i="12"/>
  <c r="U7" i="14"/>
  <c r="O30" i="12"/>
  <c r="T6" i="14"/>
  <c r="N19" i="12"/>
  <c r="V6" i="14"/>
  <c r="O19" i="12"/>
  <c r="N6" i="14"/>
  <c r="I20" i="12"/>
  <c r="K20" i="12"/>
  <c r="O12" i="14"/>
  <c r="F21" i="12"/>
  <c r="Q8" i="14" s="1"/>
  <c r="O11" i="14"/>
  <c r="J21" i="12"/>
  <c r="E21" i="12"/>
  <c r="P8" i="14" s="1"/>
  <c r="O14" i="14"/>
  <c r="O8" i="14"/>
  <c r="D22" i="12"/>
  <c r="G21" i="12"/>
  <c r="R8" i="14" s="1"/>
  <c r="O13" i="14"/>
  <c r="O15" i="14"/>
  <c r="M9" i="16"/>
  <c r="M9" i="14"/>
  <c r="B33" i="12"/>
  <c r="E29" i="12"/>
  <c r="B31" i="10"/>
  <c r="B21" i="10"/>
  <c r="B32" i="10" s="1"/>
  <c r="U28" i="10"/>
  <c r="O9" i="16"/>
  <c r="J21" i="10"/>
  <c r="E21" i="10"/>
  <c r="P9" i="16" s="1"/>
  <c r="G21" i="10"/>
  <c r="R9" i="16" s="1"/>
  <c r="F21" i="10"/>
  <c r="Y6" i="16"/>
  <c r="F29" i="10"/>
  <c r="G29" i="10" s="1"/>
  <c r="V29" i="10"/>
  <c r="W29" i="10" s="1"/>
  <c r="S29" i="10"/>
  <c r="T29" i="10" s="1"/>
  <c r="Y29" i="10"/>
  <c r="Z29" i="10" s="1"/>
  <c r="M29" i="10"/>
  <c r="L29" i="10"/>
  <c r="I29" i="10"/>
  <c r="J29" i="10" s="1"/>
  <c r="AB5" i="16"/>
  <c r="C28" i="10"/>
  <c r="D28" i="10" s="1"/>
  <c r="R15" i="16"/>
  <c r="U15" i="16"/>
  <c r="Q15" i="16"/>
  <c r="P15" i="16"/>
  <c r="U8" i="16"/>
  <c r="C20" i="10"/>
  <c r="R14" i="16"/>
  <c r="Q14" i="16"/>
  <c r="P14" i="16"/>
  <c r="U14" i="16"/>
  <c r="AA6" i="16"/>
  <c r="P18" i="10"/>
  <c r="AB4" i="16"/>
  <c r="C27" i="10"/>
  <c r="D27" i="10" s="1"/>
  <c r="E27" i="10" s="1"/>
  <c r="R11" i="16"/>
  <c r="Q11" i="16"/>
  <c r="P11" i="16"/>
  <c r="U11" i="16"/>
  <c r="P12" i="16"/>
  <c r="R12" i="16"/>
  <c r="Q12" i="16"/>
  <c r="U12" i="16"/>
  <c r="P13" i="16"/>
  <c r="U13" i="16"/>
  <c r="R13" i="16"/>
  <c r="Q13" i="16"/>
  <c r="V7" i="16"/>
  <c r="O19" i="10"/>
  <c r="N19" i="10"/>
  <c r="Z6" i="16"/>
  <c r="K20" i="10"/>
  <c r="H20" i="10"/>
  <c r="S8" i="16" s="1"/>
  <c r="N7" i="16"/>
  <c r="I20" i="10"/>
  <c r="K28" i="10"/>
  <c r="T7" i="16"/>
  <c r="O30" i="10"/>
  <c r="B30" i="16" l="1"/>
  <c r="B31" i="16" s="1"/>
  <c r="B28" i="16"/>
  <c r="B27" i="16" s="1"/>
  <c r="J21" i="16"/>
  <c r="J20" i="16" s="1"/>
  <c r="J23" i="16"/>
  <c r="J24" i="16" s="1"/>
  <c r="AA30" i="16"/>
  <c r="AA31" i="16" s="1"/>
  <c r="AA28" i="16"/>
  <c r="AA27" i="16" s="1"/>
  <c r="J30" i="16"/>
  <c r="J31" i="16" s="1"/>
  <c r="J28" i="16"/>
  <c r="J27" i="16" s="1"/>
  <c r="B44" i="16"/>
  <c r="B45" i="16" s="1"/>
  <c r="B42" i="16"/>
  <c r="B41" i="16" s="1"/>
  <c r="J35" i="16"/>
  <c r="J34" i="16" s="1"/>
  <c r="J37" i="16"/>
  <c r="J38" i="16" s="1"/>
  <c r="S28" i="16"/>
  <c r="S27" i="16" s="1"/>
  <c r="S30" i="16"/>
  <c r="S31" i="16" s="1"/>
  <c r="S37" i="16"/>
  <c r="S38" i="16" s="1"/>
  <c r="S35" i="16"/>
  <c r="S34" i="16" s="1"/>
  <c r="B49" i="16"/>
  <c r="B48" i="16" s="1"/>
  <c r="B51" i="16"/>
  <c r="B52" i="16" s="1"/>
  <c r="AB3" i="16"/>
  <c r="C26" i="10"/>
  <c r="AA42" i="16"/>
  <c r="AA41" i="16" s="1"/>
  <c r="AA44" i="16"/>
  <c r="AA45" i="16" s="1"/>
  <c r="J42" i="16"/>
  <c r="J41" i="16" s="1"/>
  <c r="J44" i="16"/>
  <c r="J45" i="16" s="1"/>
  <c r="J51" i="16"/>
  <c r="J52" i="16" s="1"/>
  <c r="J49" i="16"/>
  <c r="J48" i="16" s="1"/>
  <c r="B35" i="16"/>
  <c r="B34" i="16" s="1"/>
  <c r="B37" i="16"/>
  <c r="B38" i="16" s="1"/>
  <c r="S21" i="16"/>
  <c r="S20" i="16" s="1"/>
  <c r="S23" i="16"/>
  <c r="S24" i="16" s="1"/>
  <c r="X13" i="14"/>
  <c r="X12" i="14"/>
  <c r="M22" i="12"/>
  <c r="X9" i="14" s="1"/>
  <c r="X11" i="14"/>
  <c r="X8" i="14"/>
  <c r="X14" i="14"/>
  <c r="X15" i="14"/>
  <c r="S49" i="16"/>
  <c r="S48" i="16" s="1"/>
  <c r="S51" i="16"/>
  <c r="S52" i="16" s="1"/>
  <c r="J7" i="10"/>
  <c r="M27" i="10"/>
  <c r="N27" i="10" s="1"/>
  <c r="M28" i="10"/>
  <c r="B23" i="16"/>
  <c r="B24" i="16" s="1"/>
  <c r="B21" i="16"/>
  <c r="B20" i="16" s="1"/>
  <c r="AA49" i="16"/>
  <c r="AA48" i="16" s="1"/>
  <c r="AA51" i="16"/>
  <c r="AA52" i="16" s="1"/>
  <c r="AA23" i="16"/>
  <c r="AA24" i="16" s="1"/>
  <c r="AA21" i="16"/>
  <c r="AA20" i="16" s="1"/>
  <c r="AA35" i="16"/>
  <c r="AA34" i="16" s="1"/>
  <c r="AA37" i="16"/>
  <c r="AA38" i="16" s="1"/>
  <c r="S44" i="16"/>
  <c r="S45" i="16" s="1"/>
  <c r="S42" i="16"/>
  <c r="S41" i="16" s="1"/>
  <c r="Z27" i="10"/>
  <c r="AA27" i="10" s="1"/>
  <c r="AA28" i="10" s="1"/>
  <c r="AA29" i="10"/>
  <c r="H29" i="10"/>
  <c r="U29" i="10"/>
  <c r="H21" i="10"/>
  <c r="S9" i="16" s="1"/>
  <c r="X29" i="10"/>
  <c r="P15" i="14"/>
  <c r="U15" i="14"/>
  <c r="N15" i="14" s="1"/>
  <c r="R15" i="14"/>
  <c r="Q15" i="14"/>
  <c r="R12" i="14"/>
  <c r="U12" i="14"/>
  <c r="N12" i="14" s="1"/>
  <c r="Q12" i="14"/>
  <c r="P12" i="14"/>
  <c r="P13" i="14"/>
  <c r="R13" i="14"/>
  <c r="U13" i="14"/>
  <c r="N13" i="14" s="1"/>
  <c r="Q13" i="14"/>
  <c r="P14" i="14"/>
  <c r="R14" i="14"/>
  <c r="Q14" i="14"/>
  <c r="U14" i="14"/>
  <c r="N14" i="14" s="1"/>
  <c r="N7" i="14"/>
  <c r="I21" i="12"/>
  <c r="AA6" i="14"/>
  <c r="P19" i="12"/>
  <c r="H21" i="12"/>
  <c r="S8" i="14" s="1"/>
  <c r="E22" i="12"/>
  <c r="P9" i="14" s="1"/>
  <c r="F22" i="12"/>
  <c r="Q9" i="14" s="1"/>
  <c r="J22" i="12"/>
  <c r="G22" i="12"/>
  <c r="R9" i="14" s="1"/>
  <c r="O9" i="14"/>
  <c r="C21" i="12"/>
  <c r="U8" i="14"/>
  <c r="O20" i="12"/>
  <c r="N20" i="12"/>
  <c r="V7" i="14"/>
  <c r="Z6" i="14"/>
  <c r="P30" i="12"/>
  <c r="Q30" i="12" s="1"/>
  <c r="K21" i="12"/>
  <c r="U11" i="14"/>
  <c r="R11" i="14"/>
  <c r="Q11" i="14"/>
  <c r="P11" i="14"/>
  <c r="T7" i="14"/>
  <c r="O31" i="12"/>
  <c r="I30" i="12"/>
  <c r="J30" i="12" s="1"/>
  <c r="K30" i="12" s="1"/>
  <c r="M30" i="12"/>
  <c r="N30" i="12" s="1"/>
  <c r="V30" i="12"/>
  <c r="X30" i="12" s="1"/>
  <c r="Y6" i="14"/>
  <c r="L30" i="12"/>
  <c r="Y30" i="12"/>
  <c r="AA30" i="12" s="1"/>
  <c r="F30" i="12"/>
  <c r="G30" i="12" s="1"/>
  <c r="H30" i="12" s="1"/>
  <c r="S30" i="12"/>
  <c r="U30" i="12" s="1"/>
  <c r="S12" i="16"/>
  <c r="V12" i="16" s="1"/>
  <c r="S13" i="16"/>
  <c r="V13" i="16" s="1"/>
  <c r="AA13" i="16" s="1"/>
  <c r="AB13" i="16" s="1"/>
  <c r="S11" i="16"/>
  <c r="V11" i="16" s="1"/>
  <c r="Y11" i="16" s="1"/>
  <c r="K29" i="10"/>
  <c r="S14" i="16"/>
  <c r="V14" i="16" s="1"/>
  <c r="Y14" i="16" s="1"/>
  <c r="T8" i="16"/>
  <c r="O31" i="10"/>
  <c r="Z7" i="16"/>
  <c r="P30" i="10"/>
  <c r="V8" i="16"/>
  <c r="O20" i="10"/>
  <c r="N20" i="10"/>
  <c r="AA7" i="16"/>
  <c r="P19" i="10"/>
  <c r="N13" i="16"/>
  <c r="N14" i="16"/>
  <c r="T14" i="16"/>
  <c r="N8" i="16"/>
  <c r="T13" i="16"/>
  <c r="T15" i="16"/>
  <c r="T11" i="16"/>
  <c r="T12" i="16"/>
  <c r="I21" i="10"/>
  <c r="Q9" i="16"/>
  <c r="K21" i="10"/>
  <c r="U9" i="16"/>
  <c r="C21" i="10"/>
  <c r="N9" i="16" s="1"/>
  <c r="N12" i="16"/>
  <c r="N15" i="16"/>
  <c r="N11" i="16"/>
  <c r="AB6" i="16"/>
  <c r="C29" i="10"/>
  <c r="D29" i="10" s="1"/>
  <c r="S15" i="16"/>
  <c r="V15" i="16" s="1"/>
  <c r="Y7" i="16"/>
  <c r="M30" i="10"/>
  <c r="Y30" i="10"/>
  <c r="Z30" i="10" s="1"/>
  <c r="AA30" i="10" s="1"/>
  <c r="F30" i="10"/>
  <c r="G30" i="10" s="1"/>
  <c r="H30" i="10" s="1"/>
  <c r="L30" i="10"/>
  <c r="V30" i="10"/>
  <c r="W30" i="10" s="1"/>
  <c r="X30" i="10" s="1"/>
  <c r="I30" i="10"/>
  <c r="J30" i="10" s="1"/>
  <c r="K30" i="10" s="1"/>
  <c r="S30" i="10"/>
  <c r="T30" i="10" s="1"/>
  <c r="U30" i="10" s="1"/>
  <c r="E28" i="10"/>
  <c r="N28" i="10" l="1"/>
  <c r="N29" i="10" s="1"/>
  <c r="N30" i="10" s="1"/>
  <c r="Y29" i="16"/>
  <c r="Y43" i="16"/>
  <c r="Y50" i="16"/>
  <c r="Y36" i="16"/>
  <c r="Y22" i="16"/>
  <c r="P28" i="10"/>
  <c r="P27" i="10"/>
  <c r="Q27" i="10" s="1"/>
  <c r="Q28" i="10" s="1"/>
  <c r="P29" i="10"/>
  <c r="Q29" i="10" s="1"/>
  <c r="Q30" i="10" s="1"/>
  <c r="X35" i="10"/>
  <c r="X36" i="10" s="1"/>
  <c r="AA11" i="16"/>
  <c r="AB11" i="16" s="1"/>
  <c r="U35" i="10"/>
  <c r="U36" i="10" s="1"/>
  <c r="AA35" i="10"/>
  <c r="AA36" i="10" s="1"/>
  <c r="S14" i="14"/>
  <c r="V14" i="14" s="1"/>
  <c r="AA14" i="14" s="1"/>
  <c r="AB14" i="14" s="1"/>
  <c r="S13" i="14"/>
  <c r="V13" i="14" s="1"/>
  <c r="AA13" i="14" s="1"/>
  <c r="AB13" i="14" s="1"/>
  <c r="S12" i="14"/>
  <c r="V12" i="14" s="1"/>
  <c r="AA12" i="14" s="1"/>
  <c r="AB12" i="14" s="1"/>
  <c r="Y14" i="14"/>
  <c r="N11" i="14"/>
  <c r="T8" i="14"/>
  <c r="O32" i="12"/>
  <c r="S11" i="14"/>
  <c r="V11" i="14" s="1"/>
  <c r="N21" i="12"/>
  <c r="O21" i="12"/>
  <c r="V8" i="14"/>
  <c r="T15" i="14"/>
  <c r="T13" i="14"/>
  <c r="T11" i="14"/>
  <c r="I22" i="12"/>
  <c r="T12" i="14"/>
  <c r="T14" i="14"/>
  <c r="N8" i="14"/>
  <c r="M31" i="12"/>
  <c r="N31" i="12" s="1"/>
  <c r="S31" i="12"/>
  <c r="U31" i="12" s="1"/>
  <c r="Y7" i="14"/>
  <c r="I31" i="12"/>
  <c r="J31" i="12" s="1"/>
  <c r="K31" i="12" s="1"/>
  <c r="Y31" i="12"/>
  <c r="AA31" i="12" s="1"/>
  <c r="V31" i="12"/>
  <c r="X31" i="12" s="1"/>
  <c r="F31" i="12"/>
  <c r="G31" i="12" s="1"/>
  <c r="H31" i="12" s="1"/>
  <c r="L31" i="12"/>
  <c r="K22" i="12"/>
  <c r="U9" i="14"/>
  <c r="C22" i="12"/>
  <c r="N9" i="14" s="1"/>
  <c r="C30" i="12"/>
  <c r="D30" i="12" s="1"/>
  <c r="E30" i="12" s="1"/>
  <c r="AB6" i="14"/>
  <c r="Z7" i="14"/>
  <c r="P31" i="12"/>
  <c r="Q31" i="12" s="1"/>
  <c r="AA7" i="14"/>
  <c r="P20" i="12"/>
  <c r="H22" i="12"/>
  <c r="S15" i="14"/>
  <c r="Y13" i="16"/>
  <c r="E29" i="10"/>
  <c r="AA14" i="16"/>
  <c r="AB14" i="16" s="1"/>
  <c r="AA8" i="16"/>
  <c r="P20" i="10"/>
  <c r="Y12" i="16"/>
  <c r="AA12" i="16"/>
  <c r="AB12" i="16" s="1"/>
  <c r="AB7" i="16"/>
  <c r="C30" i="10"/>
  <c r="D30" i="10" s="1"/>
  <c r="Y15" i="16"/>
  <c r="AA15" i="16"/>
  <c r="AB15" i="16" s="1"/>
  <c r="T9" i="16"/>
  <c r="O32" i="10"/>
  <c r="Z8" i="16"/>
  <c r="P31" i="10"/>
  <c r="P50" i="16"/>
  <c r="P29" i="16"/>
  <c r="P43" i="16"/>
  <c r="P22" i="16"/>
  <c r="P36" i="16"/>
  <c r="H30" i="16"/>
  <c r="V9" i="16"/>
  <c r="O21" i="10"/>
  <c r="K35" i="10" s="1"/>
  <c r="K36" i="10" s="1"/>
  <c r="N21" i="10"/>
  <c r="Y8" i="16"/>
  <c r="C31" i="16" s="1"/>
  <c r="F31" i="10"/>
  <c r="G31" i="10" s="1"/>
  <c r="H31" i="10" s="1"/>
  <c r="H34" i="10" s="1"/>
  <c r="Y31" i="10"/>
  <c r="Z31" i="10" s="1"/>
  <c r="AA31" i="10" s="1"/>
  <c r="AA34" i="10" s="1"/>
  <c r="M31" i="10"/>
  <c r="I31" i="10"/>
  <c r="J31" i="10" s="1"/>
  <c r="K31" i="10" s="1"/>
  <c r="K34" i="10" s="1"/>
  <c r="L31" i="10"/>
  <c r="V31" i="10"/>
  <c r="W31" i="10" s="1"/>
  <c r="X31" i="10" s="1"/>
  <c r="X34" i="10" s="1"/>
  <c r="S31" i="10"/>
  <c r="T31" i="10" s="1"/>
  <c r="U31" i="10" s="1"/>
  <c r="U34" i="10" s="1"/>
  <c r="U37" i="10" s="1"/>
  <c r="N31" i="10" l="1"/>
  <c r="N34" i="10" s="1"/>
  <c r="X37" i="10"/>
  <c r="Q31" i="10"/>
  <c r="Q34" i="10" s="1"/>
  <c r="Y12" i="14"/>
  <c r="AA37" i="10"/>
  <c r="F24" i="16"/>
  <c r="AF43" i="16"/>
  <c r="C21" i="16"/>
  <c r="AF24" i="16"/>
  <c r="E31" i="16"/>
  <c r="AB34" i="16"/>
  <c r="AD35" i="16"/>
  <c r="AD50" i="16"/>
  <c r="AD52" i="16"/>
  <c r="N31" i="16"/>
  <c r="Y13" i="14"/>
  <c r="N22" i="12"/>
  <c r="V9" i="14"/>
  <c r="O22" i="12"/>
  <c r="Y8" i="14"/>
  <c r="AF49" i="14" s="1"/>
  <c r="M32" i="12"/>
  <c r="N32" i="12" s="1"/>
  <c r="N35" i="12" s="1"/>
  <c r="V32" i="12"/>
  <c r="X32" i="12" s="1"/>
  <c r="X35" i="12" s="1"/>
  <c r="Y32" i="12"/>
  <c r="AA32" i="12" s="1"/>
  <c r="AA35" i="12" s="1"/>
  <c r="L32" i="12"/>
  <c r="F32" i="12"/>
  <c r="G32" i="12" s="1"/>
  <c r="H32" i="12" s="1"/>
  <c r="H35" i="12" s="1"/>
  <c r="S32" i="12"/>
  <c r="U32" i="12" s="1"/>
  <c r="U35" i="12" s="1"/>
  <c r="I32" i="12"/>
  <c r="J32" i="12" s="1"/>
  <c r="K32" i="12" s="1"/>
  <c r="K35" i="12" s="1"/>
  <c r="U36" i="12"/>
  <c r="U37" i="12" s="1"/>
  <c r="X36" i="12"/>
  <c r="S9" i="14"/>
  <c r="AA36" i="12"/>
  <c r="V15" i="14"/>
  <c r="AB7" i="14"/>
  <c r="C31" i="12"/>
  <c r="D31" i="12" s="1"/>
  <c r="E31" i="12" s="1"/>
  <c r="AA11" i="14"/>
  <c r="Y11" i="14"/>
  <c r="T9" i="14"/>
  <c r="O33" i="12"/>
  <c r="Z8" i="14"/>
  <c r="P32" i="12"/>
  <c r="Q32" i="12" s="1"/>
  <c r="Q35" i="12" s="1"/>
  <c r="AA8" i="14"/>
  <c r="P21" i="12"/>
  <c r="E24" i="16"/>
  <c r="N27" i="16"/>
  <c r="AE36" i="16"/>
  <c r="AC23" i="16"/>
  <c r="M34" i="16"/>
  <c r="D45" i="16"/>
  <c r="AC21" i="16"/>
  <c r="AE44" i="16"/>
  <c r="AC45" i="16"/>
  <c r="AF44" i="16"/>
  <c r="AD48" i="16"/>
  <c r="M23" i="16"/>
  <c r="E30" i="10"/>
  <c r="N48" i="16"/>
  <c r="AB50" i="16"/>
  <c r="F23" i="16"/>
  <c r="AD34" i="16"/>
  <c r="AB22" i="16"/>
  <c r="AF28" i="16"/>
  <c r="AF34" i="16"/>
  <c r="D44" i="16"/>
  <c r="G24" i="16"/>
  <c r="AB37" i="16"/>
  <c r="N30" i="16"/>
  <c r="AB51" i="16"/>
  <c r="N45" i="16"/>
  <c r="AF30" i="16"/>
  <c r="AF38" i="16"/>
  <c r="F45" i="16"/>
  <c r="N49" i="16"/>
  <c r="N28" i="16"/>
  <c r="AC27" i="16"/>
  <c r="AE52" i="16"/>
  <c r="E44" i="16"/>
  <c r="F21" i="16"/>
  <c r="N34" i="16"/>
  <c r="AC38" i="16"/>
  <c r="M41" i="16"/>
  <c r="AE51" i="16"/>
  <c r="N36" i="16"/>
  <c r="AB21" i="16"/>
  <c r="C44" i="16"/>
  <c r="AB49" i="16"/>
  <c r="AC51" i="16"/>
  <c r="AD28" i="16"/>
  <c r="AB24" i="16"/>
  <c r="G43" i="16"/>
  <c r="E30" i="16"/>
  <c r="AF42" i="16"/>
  <c r="AE49" i="16"/>
  <c r="AD23" i="16"/>
  <c r="G21" i="16"/>
  <c r="AF50" i="16"/>
  <c r="K22" i="16"/>
  <c r="M28" i="16"/>
  <c r="K48" i="16"/>
  <c r="M27" i="16"/>
  <c r="N51" i="16"/>
  <c r="G41" i="16"/>
  <c r="AD22" i="16"/>
  <c r="N37" i="16"/>
  <c r="AB27" i="16"/>
  <c r="AC34" i="16"/>
  <c r="AE45" i="16"/>
  <c r="E43" i="16"/>
  <c r="N24" i="16"/>
  <c r="M38" i="16"/>
  <c r="AB23" i="16"/>
  <c r="AC22" i="16"/>
  <c r="AD27" i="16"/>
  <c r="AC20" i="16"/>
  <c r="AC44" i="16"/>
  <c r="D42" i="16"/>
  <c r="AE28" i="16"/>
  <c r="AE24" i="16"/>
  <c r="AD29" i="16"/>
  <c r="M22" i="16"/>
  <c r="C45" i="16"/>
  <c r="AF23" i="16"/>
  <c r="AE30" i="16"/>
  <c r="AE23" i="16"/>
  <c r="AD51" i="16"/>
  <c r="AF29" i="16"/>
  <c r="N43" i="16"/>
  <c r="M35" i="16"/>
  <c r="C23" i="16"/>
  <c r="AE31" i="16"/>
  <c r="AB36" i="16"/>
  <c r="AC48" i="16"/>
  <c r="E41" i="16"/>
  <c r="N50" i="16"/>
  <c r="G45" i="16"/>
  <c r="AF37" i="16"/>
  <c r="AD41" i="16"/>
  <c r="K37" i="16"/>
  <c r="N23" i="16"/>
  <c r="AB30" i="16"/>
  <c r="AC31" i="16"/>
  <c r="D43" i="16"/>
  <c r="F29" i="16"/>
  <c r="E23" i="16"/>
  <c r="M49" i="16"/>
  <c r="F44" i="16"/>
  <c r="AC28" i="16"/>
  <c r="AE29" i="16"/>
  <c r="C28" i="16"/>
  <c r="M31" i="16"/>
  <c r="AF41" i="16"/>
  <c r="AB28" i="16"/>
  <c r="AC52" i="16"/>
  <c r="AD38" i="16"/>
  <c r="Y9" i="16"/>
  <c r="V32" i="10"/>
  <c r="F32" i="10"/>
  <c r="H35" i="10" s="1"/>
  <c r="H36" i="10" s="1"/>
  <c r="H37" i="10" s="1"/>
  <c r="I32" i="10"/>
  <c r="Y32" i="10"/>
  <c r="S32" i="10"/>
  <c r="L32" i="10"/>
  <c r="N35" i="10" s="1"/>
  <c r="N36" i="10" s="1"/>
  <c r="N37" i="10" s="1"/>
  <c r="K37" i="10"/>
  <c r="O24" i="16"/>
  <c r="D31" i="16"/>
  <c r="O30" i="16"/>
  <c r="L30" i="16"/>
  <c r="L27" i="16"/>
  <c r="L45" i="16"/>
  <c r="L42" i="16"/>
  <c r="O44" i="16"/>
  <c r="O50" i="16"/>
  <c r="L41" i="16"/>
  <c r="L22" i="16"/>
  <c r="O41" i="16"/>
  <c r="D28" i="16"/>
  <c r="L21" i="16"/>
  <c r="L34" i="16"/>
  <c r="C27" i="16"/>
  <c r="O38" i="16"/>
  <c r="K49" i="16"/>
  <c r="C29" i="16"/>
  <c r="G28" i="16"/>
  <c r="O21" i="16"/>
  <c r="K34" i="16"/>
  <c r="K44" i="16"/>
  <c r="C20" i="16"/>
  <c r="AC36" i="16"/>
  <c r="G30" i="16"/>
  <c r="O37" i="16"/>
  <c r="C30" i="16"/>
  <c r="O20" i="16"/>
  <c r="O31" i="16"/>
  <c r="K45" i="16"/>
  <c r="K28" i="16"/>
  <c r="K38" i="16"/>
  <c r="O35" i="16"/>
  <c r="K29" i="16"/>
  <c r="K23" i="16"/>
  <c r="C24" i="16"/>
  <c r="O48" i="16"/>
  <c r="G29" i="16"/>
  <c r="K20" i="16"/>
  <c r="K42" i="16"/>
  <c r="O27" i="16"/>
  <c r="G31" i="16"/>
  <c r="K41" i="16"/>
  <c r="O51" i="16"/>
  <c r="O43" i="16"/>
  <c r="K51" i="16"/>
  <c r="K35" i="16"/>
  <c r="O28" i="16"/>
  <c r="D30" i="16"/>
  <c r="L20" i="16"/>
  <c r="L51" i="16"/>
  <c r="AB42" i="16"/>
  <c r="AB38" i="16"/>
  <c r="K50" i="16"/>
  <c r="D23" i="16"/>
  <c r="D22" i="16"/>
  <c r="AC50" i="16"/>
  <c r="AB52" i="16"/>
  <c r="AC24" i="16"/>
  <c r="G22" i="16"/>
  <c r="F31" i="16"/>
  <c r="M52" i="16"/>
  <c r="AB29" i="16"/>
  <c r="AE22" i="16"/>
  <c r="N29" i="16"/>
  <c r="N21" i="16"/>
  <c r="E20" i="16"/>
  <c r="AF35" i="16"/>
  <c r="AE41" i="16"/>
  <c r="AE42" i="16"/>
  <c r="AD20" i="16"/>
  <c r="K27" i="16"/>
  <c r="L50" i="16"/>
  <c r="L28" i="16"/>
  <c r="D29" i="16"/>
  <c r="L31" i="16"/>
  <c r="AB41" i="16"/>
  <c r="AF21" i="16"/>
  <c r="M51" i="16"/>
  <c r="AB31" i="16"/>
  <c r="AC30" i="16"/>
  <c r="AD24" i="16"/>
  <c r="K52" i="16"/>
  <c r="AD21" i="16"/>
  <c r="K36" i="16"/>
  <c r="N22" i="16"/>
  <c r="L49" i="16"/>
  <c r="G44" i="16"/>
  <c r="G42" i="16"/>
  <c r="AF22" i="16"/>
  <c r="AC49" i="16"/>
  <c r="AD31" i="16"/>
  <c r="N52" i="16"/>
  <c r="E27" i="16"/>
  <c r="AB43" i="16"/>
  <c r="AC35" i="16"/>
  <c r="M20" i="16"/>
  <c r="AF48" i="16"/>
  <c r="AC42" i="16"/>
  <c r="AF20" i="16"/>
  <c r="AC29" i="16"/>
  <c r="AE38" i="16"/>
  <c r="AE34" i="16"/>
  <c r="AD43" i="16"/>
  <c r="AD49" i="16"/>
  <c r="G27" i="16"/>
  <c r="G23" i="16"/>
  <c r="AF51" i="16"/>
  <c r="AB44" i="16"/>
  <c r="AF36" i="16"/>
  <c r="C41" i="16"/>
  <c r="M36" i="16"/>
  <c r="AE35" i="16"/>
  <c r="AE27" i="16"/>
  <c r="AD45" i="16"/>
  <c r="AD37" i="16"/>
  <c r="O36" i="16"/>
  <c r="E22" i="16"/>
  <c r="L43" i="16"/>
  <c r="O45" i="16"/>
  <c r="L48" i="16"/>
  <c r="L52" i="16"/>
  <c r="O22" i="16"/>
  <c r="O23" i="16"/>
  <c r="L23" i="16"/>
  <c r="O42" i="16"/>
  <c r="O34" i="16"/>
  <c r="AA9" i="16"/>
  <c r="E36" i="10"/>
  <c r="E37" i="10" s="1"/>
  <c r="P21" i="10"/>
  <c r="Z13" i="16"/>
  <c r="V48" i="16" s="1"/>
  <c r="Z12" i="16"/>
  <c r="U48" i="16" s="1"/>
  <c r="Z15" i="16"/>
  <c r="G35" i="16" s="1"/>
  <c r="Z11" i="16"/>
  <c r="C34" i="16" s="1"/>
  <c r="Z14" i="16"/>
  <c r="W51" i="16" s="1"/>
  <c r="Z9" i="16"/>
  <c r="Q35" i="10"/>
  <c r="Q36" i="10" s="1"/>
  <c r="Q37" i="10" s="1"/>
  <c r="L29" i="16"/>
  <c r="D21" i="16"/>
  <c r="C22" i="16"/>
  <c r="M29" i="16"/>
  <c r="F42" i="16"/>
  <c r="F28" i="16"/>
  <c r="N42" i="16"/>
  <c r="D20" i="16"/>
  <c r="F22" i="16"/>
  <c r="M30" i="16"/>
  <c r="M44" i="16"/>
  <c r="K24" i="16"/>
  <c r="L37" i="16"/>
  <c r="L44" i="16"/>
  <c r="F41" i="16"/>
  <c r="M48" i="16"/>
  <c r="K31" i="16"/>
  <c r="W20" i="16"/>
  <c r="L24" i="16"/>
  <c r="N20" i="16"/>
  <c r="L38" i="16"/>
  <c r="V45" i="16"/>
  <c r="M50" i="16"/>
  <c r="AE20" i="16"/>
  <c r="AD42" i="16"/>
  <c r="O52" i="16"/>
  <c r="U44" i="16"/>
  <c r="N38" i="16"/>
  <c r="F27" i="16"/>
  <c r="U49" i="16"/>
  <c r="M21" i="16"/>
  <c r="M37" i="16"/>
  <c r="AB45" i="16"/>
  <c r="AF45" i="16"/>
  <c r="M43" i="16"/>
  <c r="AC41" i="16"/>
  <c r="AD36" i="16"/>
  <c r="U38" i="16"/>
  <c r="K43" i="16"/>
  <c r="O29" i="16"/>
  <c r="G20" i="16"/>
  <c r="N35" i="16"/>
  <c r="F30" i="16"/>
  <c r="D27" i="16"/>
  <c r="N41" i="16"/>
  <c r="F20" i="16"/>
  <c r="U42" i="16"/>
  <c r="L36" i="16"/>
  <c r="E21" i="16"/>
  <c r="AB20" i="16"/>
  <c r="AF49" i="16"/>
  <c r="AC43" i="16"/>
  <c r="AE50" i="16"/>
  <c r="K30" i="16"/>
  <c r="L35" i="16"/>
  <c r="D24" i="16"/>
  <c r="N44" i="16"/>
  <c r="AF52" i="16"/>
  <c r="M42" i="16"/>
  <c r="AF27" i="16"/>
  <c r="E28" i="16"/>
  <c r="C43" i="16"/>
  <c r="AB48" i="16"/>
  <c r="E29" i="16"/>
  <c r="D41" i="16"/>
  <c r="AE21" i="16"/>
  <c r="E42" i="16"/>
  <c r="AD30" i="16"/>
  <c r="K21" i="16"/>
  <c r="AB35" i="16"/>
  <c r="AE43" i="16"/>
  <c r="M24" i="16"/>
  <c r="C42" i="16"/>
  <c r="AE37" i="16"/>
  <c r="M45" i="16"/>
  <c r="AF31" i="16"/>
  <c r="AC37" i="16"/>
  <c r="AE48" i="16"/>
  <c r="F43" i="16"/>
  <c r="AD44" i="16"/>
  <c r="E45" i="16"/>
  <c r="O49" i="16"/>
  <c r="AB8" i="16"/>
  <c r="E49" i="16" s="1"/>
  <c r="C31" i="10"/>
  <c r="D31" i="10" s="1"/>
  <c r="AF44" i="14" l="1"/>
  <c r="D50" i="14"/>
  <c r="D23" i="14"/>
  <c r="F28" i="14"/>
  <c r="AF51" i="14"/>
  <c r="AF20" i="14"/>
  <c r="L31" i="14"/>
  <c r="AF24" i="14"/>
  <c r="N35" i="14"/>
  <c r="N45" i="14"/>
  <c r="L21" i="14"/>
  <c r="N51" i="14"/>
  <c r="L51" i="14"/>
  <c r="F20" i="14"/>
  <c r="AF52" i="14"/>
  <c r="F22" i="14"/>
  <c r="C23" i="14"/>
  <c r="L35" i="14"/>
  <c r="L44" i="14"/>
  <c r="N48" i="14"/>
  <c r="AF29" i="14"/>
  <c r="AF34" i="14"/>
  <c r="N38" i="14"/>
  <c r="G41" i="14"/>
  <c r="D30" i="14"/>
  <c r="D21" i="14"/>
  <c r="N22" i="14"/>
  <c r="AF41" i="14"/>
  <c r="V29" i="16"/>
  <c r="X27" i="16"/>
  <c r="E31" i="10"/>
  <c r="E35" i="10" s="1"/>
  <c r="X34" i="16"/>
  <c r="T28" i="16"/>
  <c r="X38" i="12"/>
  <c r="U38" i="12"/>
  <c r="L29" i="14"/>
  <c r="AF36" i="14"/>
  <c r="N24" i="14"/>
  <c r="D27" i="14"/>
  <c r="N27" i="14"/>
  <c r="F29" i="14"/>
  <c r="AF23" i="14"/>
  <c r="AF31" i="14"/>
  <c r="N29" i="14"/>
  <c r="L45" i="14"/>
  <c r="C51" i="14"/>
  <c r="L48" i="14"/>
  <c r="N36" i="14"/>
  <c r="N20" i="14"/>
  <c r="N37" i="14"/>
  <c r="AF27" i="14"/>
  <c r="D20" i="14"/>
  <c r="N52" i="14"/>
  <c r="AF37" i="14"/>
  <c r="L49" i="14"/>
  <c r="L30" i="14"/>
  <c r="N21" i="14"/>
  <c r="F24" i="14"/>
  <c r="L38" i="14"/>
  <c r="F49" i="14"/>
  <c r="AF42" i="14"/>
  <c r="AA38" i="12"/>
  <c r="L43" i="14"/>
  <c r="N23" i="14"/>
  <c r="F51" i="14"/>
  <c r="N41" i="14"/>
  <c r="N49" i="14"/>
  <c r="N50" i="14"/>
  <c r="C21" i="14"/>
  <c r="AF28" i="14"/>
  <c r="D52" i="14"/>
  <c r="D29" i="14"/>
  <c r="AF22" i="14"/>
  <c r="AF48" i="14"/>
  <c r="L50" i="14"/>
  <c r="D28" i="14"/>
  <c r="N42" i="14"/>
  <c r="N28" i="14"/>
  <c r="AF21" i="14"/>
  <c r="F23" i="14"/>
  <c r="N43" i="14"/>
  <c r="F21" i="14"/>
  <c r="L42" i="14"/>
  <c r="N30" i="14"/>
  <c r="L22" i="14"/>
  <c r="L28" i="14"/>
  <c r="AF30" i="14"/>
  <c r="AF43" i="14"/>
  <c r="F48" i="14"/>
  <c r="G45" i="14"/>
  <c r="AF38" i="14"/>
  <c r="C49" i="14"/>
  <c r="L37" i="14"/>
  <c r="N31" i="14"/>
  <c r="F30" i="14"/>
  <c r="L36" i="14"/>
  <c r="L41" i="14"/>
  <c r="F52" i="14"/>
  <c r="L24" i="14"/>
  <c r="D24" i="14"/>
  <c r="D31" i="14"/>
  <c r="G44" i="14"/>
  <c r="F27" i="14"/>
  <c r="N44" i="14"/>
  <c r="L52" i="14"/>
  <c r="L20" i="14"/>
  <c r="AF35" i="14"/>
  <c r="N34" i="14"/>
  <c r="D22" i="14"/>
  <c r="F31" i="14"/>
  <c r="L23" i="14"/>
  <c r="G42" i="14"/>
  <c r="L34" i="14"/>
  <c r="L27" i="14"/>
  <c r="G43" i="14"/>
  <c r="C32" i="12"/>
  <c r="D32" i="12" s="1"/>
  <c r="E32" i="12" s="1"/>
  <c r="E36" i="12" s="1"/>
  <c r="AB8" i="14"/>
  <c r="H30" i="14"/>
  <c r="P50" i="14"/>
  <c r="P29" i="14"/>
  <c r="P43" i="14"/>
  <c r="P22" i="14"/>
  <c r="P36" i="14"/>
  <c r="AB11" i="14"/>
  <c r="Y15" i="14"/>
  <c r="AA15" i="14"/>
  <c r="O49" i="14" s="1"/>
  <c r="Y9" i="14"/>
  <c r="S33" i="12"/>
  <c r="L33" i="12"/>
  <c r="N36" i="12" s="1"/>
  <c r="N37" i="12" s="1"/>
  <c r="N38" i="12" s="1"/>
  <c r="Y33" i="12"/>
  <c r="F33" i="12"/>
  <c r="H36" i="12" s="1"/>
  <c r="H37" i="12" s="1"/>
  <c r="H38" i="12" s="1"/>
  <c r="V33" i="12"/>
  <c r="I33" i="12"/>
  <c r="Z14" i="14"/>
  <c r="W20" i="14" s="1"/>
  <c r="Z13" i="14"/>
  <c r="V48" i="14" s="1"/>
  <c r="Z9" i="14"/>
  <c r="Z11" i="14"/>
  <c r="T45" i="14" s="1"/>
  <c r="Q36" i="12"/>
  <c r="Q37" i="12" s="1"/>
  <c r="Q38" i="12" s="1"/>
  <c r="Z12" i="14"/>
  <c r="Z15" i="14"/>
  <c r="AA9" i="14"/>
  <c r="E37" i="12"/>
  <c r="E38" i="12" s="1"/>
  <c r="P22" i="12"/>
  <c r="AE48" i="14"/>
  <c r="AD43" i="14"/>
  <c r="E29" i="14"/>
  <c r="M51" i="14"/>
  <c r="M43" i="14"/>
  <c r="M23" i="14"/>
  <c r="AB27" i="14"/>
  <c r="AB37" i="14"/>
  <c r="K38" i="14"/>
  <c r="AC28" i="14"/>
  <c r="AC31" i="14"/>
  <c r="AC48" i="14"/>
  <c r="K52" i="14"/>
  <c r="E30" i="14"/>
  <c r="AD21" i="14"/>
  <c r="AB42" i="14"/>
  <c r="AB48" i="14"/>
  <c r="AD42" i="14"/>
  <c r="K31" i="14"/>
  <c r="E42" i="14"/>
  <c r="M24" i="14"/>
  <c r="M28" i="14"/>
  <c r="C43" i="14"/>
  <c r="AE38" i="14"/>
  <c r="AC37" i="14"/>
  <c r="AB35" i="14"/>
  <c r="AC38" i="14"/>
  <c r="AD49" i="14"/>
  <c r="E44" i="14"/>
  <c r="K22" i="14"/>
  <c r="AC20" i="14"/>
  <c r="AC49" i="14"/>
  <c r="AE51" i="14"/>
  <c r="AC52" i="14"/>
  <c r="D43" i="14"/>
  <c r="C30" i="14"/>
  <c r="C28" i="14"/>
  <c r="K49" i="14"/>
  <c r="M27" i="14"/>
  <c r="K37" i="14"/>
  <c r="AB23" i="14"/>
  <c r="AB21" i="14"/>
  <c r="AB24" i="14"/>
  <c r="E21" i="14"/>
  <c r="AE44" i="14"/>
  <c r="K27" i="14"/>
  <c r="M34" i="14"/>
  <c r="AC21" i="14"/>
  <c r="X20" i="14"/>
  <c r="W24" i="14"/>
  <c r="T42" i="14"/>
  <c r="V34" i="14"/>
  <c r="T22" i="14"/>
  <c r="W34" i="14"/>
  <c r="V36" i="14"/>
  <c r="E24" i="14"/>
  <c r="AB51" i="14"/>
  <c r="AD50" i="14"/>
  <c r="K28" i="14"/>
  <c r="K20" i="14"/>
  <c r="M22" i="14"/>
  <c r="F41" i="14"/>
  <c r="K34" i="14"/>
  <c r="AE20" i="14"/>
  <c r="AB31" i="14"/>
  <c r="E23" i="14"/>
  <c r="AD35" i="14"/>
  <c r="AC41" i="14"/>
  <c r="C44" i="14"/>
  <c r="AC35" i="14"/>
  <c r="AD34" i="14"/>
  <c r="AB41" i="14"/>
  <c r="AE41" i="14"/>
  <c r="E51" i="14"/>
  <c r="K50" i="14"/>
  <c r="E43" i="14"/>
  <c r="K51" i="14"/>
  <c r="E45" i="14"/>
  <c r="K35" i="14"/>
  <c r="AE22" i="14"/>
  <c r="AC22" i="14"/>
  <c r="M35" i="14"/>
  <c r="AB38" i="14"/>
  <c r="AC51" i="14"/>
  <c r="M45" i="14"/>
  <c r="M36" i="14"/>
  <c r="AE21" i="14"/>
  <c r="K36" i="14"/>
  <c r="AB50" i="14"/>
  <c r="AC42" i="14"/>
  <c r="M44" i="14"/>
  <c r="E41" i="14"/>
  <c r="M50" i="14"/>
  <c r="K44" i="14"/>
  <c r="M31" i="14"/>
  <c r="AE35" i="14"/>
  <c r="AD29" i="14"/>
  <c r="AE23" i="14"/>
  <c r="AB30" i="14"/>
  <c r="AB44" i="14"/>
  <c r="E52" i="14"/>
  <c r="C41" i="14"/>
  <c r="AE30" i="14"/>
  <c r="AB34" i="14"/>
  <c r="U44" i="14"/>
  <c r="U51" i="14"/>
  <c r="U35" i="14"/>
  <c r="F37" i="14"/>
  <c r="X34" i="14"/>
  <c r="T41" i="14"/>
  <c r="T21" i="14"/>
  <c r="C38" i="14"/>
  <c r="T35" i="14"/>
  <c r="C34" i="14"/>
  <c r="T30" i="14"/>
  <c r="T36" i="14"/>
  <c r="T50" i="14"/>
  <c r="U22" i="14"/>
  <c r="V52" i="14"/>
  <c r="D51" i="14"/>
  <c r="AC50" i="14"/>
  <c r="AE43" i="14"/>
  <c r="AD45" i="14"/>
  <c r="K29" i="14"/>
  <c r="K21" i="14"/>
  <c r="E27" i="14"/>
  <c r="E28" i="14"/>
  <c r="AD23" i="14"/>
  <c r="AC23" i="14"/>
  <c r="AD28" i="14"/>
  <c r="AE34" i="14"/>
  <c r="AE36" i="14"/>
  <c r="C50" i="14"/>
  <c r="C45" i="14"/>
  <c r="AE37" i="14"/>
  <c r="AD37" i="14"/>
  <c r="AD48" i="14"/>
  <c r="AE49" i="14"/>
  <c r="E48" i="14"/>
  <c r="K43" i="14"/>
  <c r="M29" i="14"/>
  <c r="F44" i="14"/>
  <c r="M41" i="14"/>
  <c r="M37" i="14"/>
  <c r="AB22" i="14"/>
  <c r="AE29" i="14"/>
  <c r="AD20" i="14"/>
  <c r="AC43" i="14"/>
  <c r="AD44" i="14"/>
  <c r="K42" i="14"/>
  <c r="AD30" i="14"/>
  <c r="AD38" i="14"/>
  <c r="AB49" i="14"/>
  <c r="AE50" i="14"/>
  <c r="AD51" i="14"/>
  <c r="M49" i="14"/>
  <c r="K41" i="14"/>
  <c r="M42" i="14"/>
  <c r="F43" i="14"/>
  <c r="E20" i="14"/>
  <c r="AD31" i="14"/>
  <c r="AC29" i="14"/>
  <c r="AD24" i="14"/>
  <c r="AB36" i="14"/>
  <c r="AB43" i="14"/>
  <c r="M21" i="14"/>
  <c r="C31" i="14"/>
  <c r="AC24" i="14"/>
  <c r="U48" i="14"/>
  <c r="U42" i="14"/>
  <c r="W52" i="14"/>
  <c r="T51" i="14"/>
  <c r="U34" i="14"/>
  <c r="C37" i="14"/>
  <c r="T49" i="14"/>
  <c r="T34" i="14"/>
  <c r="T44" i="14"/>
  <c r="T48" i="14"/>
  <c r="T43" i="14"/>
  <c r="T27" i="14"/>
  <c r="AF50" i="14"/>
  <c r="M30" i="14"/>
  <c r="M38" i="14"/>
  <c r="AC36" i="14"/>
  <c r="C20" i="14"/>
  <c r="K24" i="14"/>
  <c r="C22" i="14"/>
  <c r="AC45" i="14"/>
  <c r="AD41" i="14"/>
  <c r="K45" i="14"/>
  <c r="AE27" i="14"/>
  <c r="AD36" i="14"/>
  <c r="AB28" i="14"/>
  <c r="T28" i="14"/>
  <c r="T37" i="14"/>
  <c r="V20" i="14"/>
  <c r="G27" i="14"/>
  <c r="O23" i="14"/>
  <c r="E50" i="14"/>
  <c r="AE28" i="14"/>
  <c r="M52" i="14"/>
  <c r="E49" i="14"/>
  <c r="D45" i="14"/>
  <c r="T24" i="14"/>
  <c r="F50" i="14"/>
  <c r="D49" i="14"/>
  <c r="AB52" i="14"/>
  <c r="D41" i="14"/>
  <c r="AD22" i="14"/>
  <c r="M20" i="14"/>
  <c r="AE52" i="14"/>
  <c r="K30" i="14"/>
  <c r="AC34" i="14"/>
  <c r="E31" i="14"/>
  <c r="AB45" i="14"/>
  <c r="F45" i="14"/>
  <c r="AC27" i="14"/>
  <c r="AE45" i="14"/>
  <c r="U30" i="14"/>
  <c r="T29" i="14"/>
  <c r="C36" i="14"/>
  <c r="V44" i="14"/>
  <c r="G29" i="14"/>
  <c r="O52" i="14"/>
  <c r="O30" i="14"/>
  <c r="C42" i="14"/>
  <c r="D44" i="14"/>
  <c r="AE31" i="14"/>
  <c r="E22" i="14"/>
  <c r="T20" i="14"/>
  <c r="V30" i="14"/>
  <c r="O29" i="14"/>
  <c r="AF45" i="14"/>
  <c r="AD52" i="14"/>
  <c r="C29" i="14"/>
  <c r="AD27" i="14"/>
  <c r="F42" i="14"/>
  <c r="AC44" i="14"/>
  <c r="K23" i="14"/>
  <c r="AE24" i="14"/>
  <c r="M48" i="14"/>
  <c r="AE42" i="14"/>
  <c r="K48" i="14"/>
  <c r="AB29" i="14"/>
  <c r="D42" i="14"/>
  <c r="T38" i="14"/>
  <c r="T52" i="14"/>
  <c r="E37" i="14"/>
  <c r="O37" i="14"/>
  <c r="G28" i="14"/>
  <c r="O41" i="14"/>
  <c r="AB20" i="14"/>
  <c r="AC30" i="14"/>
  <c r="C27" i="14"/>
  <c r="O38" i="14"/>
  <c r="K36" i="12"/>
  <c r="K37" i="12" s="1"/>
  <c r="K38" i="12" s="1"/>
  <c r="E36" i="16"/>
  <c r="V37" i="16"/>
  <c r="C48" i="16"/>
  <c r="V42" i="16"/>
  <c r="T20" i="16"/>
  <c r="T52" i="16"/>
  <c r="G49" i="16"/>
  <c r="D50" i="16"/>
  <c r="T50" i="16"/>
  <c r="T38" i="16"/>
  <c r="W21" i="16"/>
  <c r="W35" i="16"/>
  <c r="V22" i="16"/>
  <c r="V36" i="16"/>
  <c r="W50" i="16"/>
  <c r="V51" i="16"/>
  <c r="W45" i="16"/>
  <c r="E35" i="16"/>
  <c r="W42" i="16"/>
  <c r="W48" i="16"/>
  <c r="V21" i="16"/>
  <c r="W38" i="16"/>
  <c r="V20" i="16"/>
  <c r="W49" i="16"/>
  <c r="T27" i="16"/>
  <c r="W36" i="16"/>
  <c r="U51" i="16"/>
  <c r="F38" i="16"/>
  <c r="T22" i="16"/>
  <c r="T42" i="16"/>
  <c r="T44" i="16"/>
  <c r="U24" i="16"/>
  <c r="V31" i="16"/>
  <c r="F37" i="16"/>
  <c r="W37" i="16"/>
  <c r="U50" i="16"/>
  <c r="G48" i="16"/>
  <c r="E37" i="16"/>
  <c r="V38" i="16"/>
  <c r="D38" i="16"/>
  <c r="V30" i="16"/>
  <c r="W29" i="16"/>
  <c r="F48" i="16"/>
  <c r="T24" i="16"/>
  <c r="W22" i="16"/>
  <c r="V50" i="16"/>
  <c r="W23" i="16"/>
  <c r="V23" i="16"/>
  <c r="V28" i="16"/>
  <c r="W43" i="16"/>
  <c r="W24" i="16"/>
  <c r="W28" i="16"/>
  <c r="W44" i="16"/>
  <c r="V44" i="16"/>
  <c r="W30" i="16"/>
  <c r="U30" i="16"/>
  <c r="E38" i="16"/>
  <c r="V41" i="16"/>
  <c r="W41" i="16"/>
  <c r="V43" i="16"/>
  <c r="V27" i="16"/>
  <c r="W31" i="16"/>
  <c r="T35" i="16"/>
  <c r="D36" i="16"/>
  <c r="T48" i="16"/>
  <c r="X23" i="16"/>
  <c r="X44" i="16"/>
  <c r="F52" i="16"/>
  <c r="C51" i="16"/>
  <c r="G51" i="16"/>
  <c r="E48" i="16"/>
  <c r="G52" i="16"/>
  <c r="F49" i="16"/>
  <c r="D52" i="16"/>
  <c r="C50" i="16"/>
  <c r="F50" i="16"/>
  <c r="G50" i="16"/>
  <c r="E51" i="16"/>
  <c r="E50" i="16"/>
  <c r="D49" i="16"/>
  <c r="F51" i="16"/>
  <c r="AB9" i="16"/>
  <c r="C32" i="10"/>
  <c r="C36" i="16"/>
  <c r="U34" i="16"/>
  <c r="C38" i="16"/>
  <c r="W27" i="16"/>
  <c r="D34" i="16"/>
  <c r="F36" i="16"/>
  <c r="T49" i="16"/>
  <c r="X21" i="16"/>
  <c r="T31" i="16"/>
  <c r="T30" i="16"/>
  <c r="T23" i="16"/>
  <c r="X51" i="16"/>
  <c r="G36" i="16"/>
  <c r="X49" i="16"/>
  <c r="E34" i="16"/>
  <c r="U20" i="16"/>
  <c r="C37" i="16"/>
  <c r="V52" i="16"/>
  <c r="U22" i="16"/>
  <c r="T21" i="16"/>
  <c r="W52" i="16"/>
  <c r="U23" i="16"/>
  <c r="D37" i="16"/>
  <c r="X22" i="16"/>
  <c r="X45" i="16"/>
  <c r="X41" i="16"/>
  <c r="X30" i="16"/>
  <c r="X37" i="16"/>
  <c r="U41" i="16"/>
  <c r="U29" i="16"/>
  <c r="U52" i="16"/>
  <c r="U31" i="16"/>
  <c r="E52" i="16"/>
  <c r="G34" i="16"/>
  <c r="X24" i="16"/>
  <c r="X43" i="16"/>
  <c r="T29" i="16"/>
  <c r="T43" i="16"/>
  <c r="X52" i="16"/>
  <c r="U36" i="16"/>
  <c r="X38" i="16"/>
  <c r="T36" i="16"/>
  <c r="T37" i="16"/>
  <c r="E38" i="10"/>
  <c r="X36" i="16"/>
  <c r="X35" i="16"/>
  <c r="C35" i="16"/>
  <c r="X42" i="16"/>
  <c r="U43" i="16"/>
  <c r="C49" i="16"/>
  <c r="C52" i="16"/>
  <c r="U37" i="16"/>
  <c r="U35" i="16"/>
  <c r="V49" i="16"/>
  <c r="X28" i="16"/>
  <c r="V35" i="16"/>
  <c r="X29" i="16"/>
  <c r="F34" i="16"/>
  <c r="F35" i="16"/>
  <c r="D51" i="16"/>
  <c r="T34" i="16"/>
  <c r="W34" i="16"/>
  <c r="U27" i="16"/>
  <c r="U28" i="16"/>
  <c r="T41" i="16"/>
  <c r="T51" i="16"/>
  <c r="D48" i="16"/>
  <c r="X31" i="16"/>
  <c r="X20" i="16"/>
  <c r="X50" i="16"/>
  <c r="T45" i="16"/>
  <c r="X48" i="16"/>
  <c r="G37" i="16"/>
  <c r="G38" i="16"/>
  <c r="V24" i="16"/>
  <c r="V34" i="16"/>
  <c r="U45" i="16"/>
  <c r="U21" i="16"/>
  <c r="D35" i="16"/>
  <c r="O39" i="10"/>
  <c r="X27" i="14" l="1"/>
  <c r="T23" i="14"/>
  <c r="T31" i="14"/>
  <c r="X38" i="14"/>
  <c r="C35" i="14"/>
  <c r="O40" i="12"/>
  <c r="G30" i="14"/>
  <c r="O43" i="14"/>
  <c r="W42" i="14"/>
  <c r="F34" i="14"/>
  <c r="W21" i="14"/>
  <c r="G31" i="14"/>
  <c r="O34" i="14"/>
  <c r="O45" i="14"/>
  <c r="O20" i="14"/>
  <c r="O35" i="14"/>
  <c r="O36" i="14"/>
  <c r="O42" i="14"/>
  <c r="O31" i="14"/>
  <c r="W37" i="14"/>
  <c r="W23" i="14"/>
  <c r="F36" i="14"/>
  <c r="W51" i="14"/>
  <c r="F38" i="14"/>
  <c r="O50" i="14"/>
  <c r="O24" i="14"/>
  <c r="O48" i="14"/>
  <c r="U37" i="14"/>
  <c r="O21" i="14"/>
  <c r="O28" i="14"/>
  <c r="W31" i="14"/>
  <c r="O27" i="14"/>
  <c r="W27" i="14"/>
  <c r="O51" i="14"/>
  <c r="O22" i="14"/>
  <c r="V37" i="14"/>
  <c r="W22" i="14"/>
  <c r="W29" i="14"/>
  <c r="W28" i="14"/>
  <c r="W49" i="14"/>
  <c r="W30" i="14"/>
  <c r="W50" i="14"/>
  <c r="W48" i="14"/>
  <c r="W45" i="14"/>
  <c r="W41" i="14"/>
  <c r="X45" i="14"/>
  <c r="X50" i="14"/>
  <c r="X52" i="14"/>
  <c r="V38" i="14"/>
  <c r="X29" i="14"/>
  <c r="X48" i="14"/>
  <c r="X49" i="14"/>
  <c r="W38" i="14"/>
  <c r="X44" i="14"/>
  <c r="G36" i="14"/>
  <c r="X51" i="14"/>
  <c r="X43" i="14"/>
  <c r="U38" i="14"/>
  <c r="X28" i="14"/>
  <c r="X22" i="14"/>
  <c r="G37" i="14"/>
  <c r="X30" i="14"/>
  <c r="U28" i="14"/>
  <c r="D35" i="14"/>
  <c r="U43" i="14"/>
  <c r="V29" i="14"/>
  <c r="V41" i="14"/>
  <c r="V27" i="14"/>
  <c r="V31" i="14"/>
  <c r="D38" i="14"/>
  <c r="E35" i="14"/>
  <c r="U41" i="14"/>
  <c r="U31" i="14"/>
  <c r="U21" i="14"/>
  <c r="U20" i="14"/>
  <c r="W35" i="14"/>
  <c r="W43" i="14"/>
  <c r="W44" i="14"/>
  <c r="C33" i="12"/>
  <c r="AB9" i="14"/>
  <c r="V45" i="14"/>
  <c r="W36" i="14"/>
  <c r="U52" i="14"/>
  <c r="V23" i="14"/>
  <c r="V35" i="14"/>
  <c r="X35" i="14"/>
  <c r="V43" i="14"/>
  <c r="V42" i="14"/>
  <c r="V21" i="14"/>
  <c r="U24" i="14"/>
  <c r="U23" i="14"/>
  <c r="E34" i="14"/>
  <c r="U36" i="14"/>
  <c r="V51" i="14"/>
  <c r="D36" i="14"/>
  <c r="U29" i="14"/>
  <c r="X37" i="14"/>
  <c r="O44" i="14"/>
  <c r="AB15" i="14"/>
  <c r="D37" i="14"/>
  <c r="F35" i="14"/>
  <c r="C48" i="14"/>
  <c r="X36" i="14"/>
  <c r="U49" i="14"/>
  <c r="V50" i="14"/>
  <c r="E38" i="14"/>
  <c r="V22" i="14"/>
  <c r="V24" i="14"/>
  <c r="E36" i="14"/>
  <c r="D34" i="14"/>
  <c r="V28" i="14"/>
  <c r="V49" i="14"/>
  <c r="U45" i="14"/>
  <c r="U27" i="14"/>
  <c r="X24" i="14"/>
  <c r="G50" i="14"/>
  <c r="G38" i="14"/>
  <c r="G21" i="14"/>
  <c r="G24" i="14"/>
  <c r="X42" i="14"/>
  <c r="G52" i="14"/>
  <c r="X31" i="14"/>
  <c r="G49" i="14"/>
  <c r="C52" i="14"/>
  <c r="X21" i="14"/>
  <c r="G35" i="14"/>
  <c r="G48" i="14"/>
  <c r="G51" i="14"/>
  <c r="G34" i="14"/>
  <c r="C24" i="14"/>
  <c r="X23" i="14"/>
  <c r="X41" i="14"/>
  <c r="G22" i="14"/>
  <c r="G23" i="14"/>
  <c r="G20" i="14"/>
  <c r="U50" i="14"/>
  <c r="E39" i="12"/>
  <c r="D48" i="14"/>
</calcChain>
</file>

<file path=xl/sharedStrings.xml><?xml version="1.0" encoding="utf-8"?>
<sst xmlns="http://schemas.openxmlformats.org/spreadsheetml/2006/main" count="580" uniqueCount="236">
  <si>
    <t>The Farm Hill Group, Ltd.</t>
  </si>
  <si>
    <t>Balance Sheet (millions)</t>
  </si>
  <si>
    <t>Income Statement (millions)</t>
  </si>
  <si>
    <t>Year Ending December 31</t>
  </si>
  <si>
    <t>January 1 - December 31</t>
  </si>
  <si>
    <t>Current Assets</t>
  </si>
  <si>
    <t>Current Liabilitites</t>
  </si>
  <si>
    <t>Income</t>
  </si>
  <si>
    <t>Cash &amp; Securities</t>
  </si>
  <si>
    <t>Accounts Payable</t>
  </si>
  <si>
    <t>Product Sales</t>
  </si>
  <si>
    <t>Accounts Receivable</t>
  </si>
  <si>
    <t>Other</t>
  </si>
  <si>
    <t>Private Equity</t>
  </si>
  <si>
    <t>Inventory</t>
  </si>
  <si>
    <t>Total</t>
  </si>
  <si>
    <t>Total Income</t>
  </si>
  <si>
    <t xml:space="preserve">Total </t>
  </si>
  <si>
    <t>Long Term Debt</t>
  </si>
  <si>
    <t>Expenses</t>
  </si>
  <si>
    <t>Fixed Assets</t>
  </si>
  <si>
    <t>Mortgages</t>
  </si>
  <si>
    <t>PPE</t>
  </si>
  <si>
    <t>Bonds</t>
  </si>
  <si>
    <t>Sales &amp; Admin</t>
  </si>
  <si>
    <t>Depreciation</t>
  </si>
  <si>
    <t>Total Expenses</t>
  </si>
  <si>
    <t>Owner's Equity</t>
  </si>
  <si>
    <t>Common Stock</t>
  </si>
  <si>
    <t>Operating Income (EBIT)</t>
  </si>
  <si>
    <t>Preferred Stock</t>
  </si>
  <si>
    <t>Accumulated Retained Earnings</t>
  </si>
  <si>
    <t>Interest Paid</t>
  </si>
  <si>
    <t>General Interest</t>
  </si>
  <si>
    <t>Total Interest Paid</t>
  </si>
  <si>
    <t>Total Assets</t>
  </si>
  <si>
    <t>Total Liabilities and Owner's Equity</t>
  </si>
  <si>
    <t>Taxable Income</t>
  </si>
  <si>
    <t>Taxes Paid</t>
  </si>
  <si>
    <t>Additional Financial Information</t>
  </si>
  <si>
    <t>Net Income</t>
  </si>
  <si>
    <t>Preferred Stock Value</t>
  </si>
  <si>
    <t>Common Stock Value</t>
  </si>
  <si>
    <t>Shares Outstanding (millions)</t>
  </si>
  <si>
    <t>12/31 Price per Share</t>
  </si>
  <si>
    <t>Market Value (millions)</t>
  </si>
  <si>
    <t>P/E Multiple</t>
  </si>
  <si>
    <t>Distribution of Earnings</t>
  </si>
  <si>
    <t>EPS</t>
  </si>
  <si>
    <t>Dividends (Common)</t>
  </si>
  <si>
    <t>Dividends (Preferred)</t>
  </si>
  <si>
    <t>Addition to Retained Earnings</t>
  </si>
  <si>
    <t>EBIT</t>
  </si>
  <si>
    <t>NOPLAT = EBIT x (1-T)</t>
  </si>
  <si>
    <t>EBITDA</t>
  </si>
  <si>
    <t>IC = TE + LTD (finance approach)</t>
  </si>
  <si>
    <t>Tax Rates</t>
  </si>
  <si>
    <t>NWC</t>
  </si>
  <si>
    <t>IC = FA + NWC (ops approach)</t>
  </si>
  <si>
    <t>Taxes Paid/Taxable Income</t>
  </si>
  <si>
    <t>OCF</t>
  </si>
  <si>
    <t>ROIC = NOPLAT/Invested Capital</t>
  </si>
  <si>
    <t>Tax Rate on EBIT</t>
  </si>
  <si>
    <t>NCS</t>
  </si>
  <si>
    <t xml:space="preserve">Net Investment </t>
  </si>
  <si>
    <t>Tax Rate on Taxable Income</t>
  </si>
  <si>
    <t>∆ NWC</t>
  </si>
  <si>
    <r>
      <t xml:space="preserve">FCF = NOPLAT + Dep - </t>
    </r>
    <r>
      <rPr>
        <sz val="11"/>
        <color theme="1"/>
        <rFont val="Calibri"/>
        <family val="2"/>
      </rPr>
      <t>∆</t>
    </r>
    <r>
      <rPr>
        <sz val="11"/>
        <color theme="1"/>
        <rFont val="Calibri"/>
        <family val="2"/>
        <scheme val="minor"/>
      </rPr>
      <t>NWC - NCS</t>
    </r>
  </si>
  <si>
    <t>CFFA (1)</t>
  </si>
  <si>
    <t>FCF = NOPLAT + Dep - Net Invest</t>
  </si>
  <si>
    <t>CFFA (2)</t>
  </si>
  <si>
    <t>EV (market)</t>
  </si>
  <si>
    <t>CF/CR</t>
  </si>
  <si>
    <t>Cost of Debt</t>
  </si>
  <si>
    <t>EV/EBIT</t>
  </si>
  <si>
    <t>CF/SH</t>
  </si>
  <si>
    <t>Cost of Preferred</t>
  </si>
  <si>
    <t>ROA</t>
  </si>
  <si>
    <r>
      <t>Cost of Equity</t>
    </r>
    <r>
      <rPr>
        <vertAlign val="subscript"/>
        <sz val="11"/>
        <color theme="1"/>
        <rFont val="Calibri"/>
        <family val="2"/>
        <scheme val="minor"/>
      </rPr>
      <t>CAPM</t>
    </r>
    <r>
      <rPr>
        <sz val="11"/>
        <color theme="1"/>
        <rFont val="Calibri"/>
        <family val="2"/>
        <scheme val="minor"/>
      </rPr>
      <t xml:space="preserve"> (R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R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+(R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-R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</rPr>
      <t>β</t>
    </r>
  </si>
  <si>
    <t>ROE</t>
  </si>
  <si>
    <t>Market Returns</t>
  </si>
  <si>
    <t>PM</t>
  </si>
  <si>
    <t>Risk Free Rate</t>
  </si>
  <si>
    <t>TAT</t>
  </si>
  <si>
    <t>Beta (assumed)</t>
  </si>
  <si>
    <t>EM</t>
  </si>
  <si>
    <t>ROE (Dupont)</t>
  </si>
  <si>
    <t>Market Based Bonds and Cost of Capital</t>
  </si>
  <si>
    <t>ROE = NI/TE</t>
  </si>
  <si>
    <t>Coupon</t>
  </si>
  <si>
    <t>Payout Ratio</t>
  </si>
  <si>
    <t>YTM (current yield)</t>
  </si>
  <si>
    <t>Retention Ratio</t>
  </si>
  <si>
    <t>P/YR</t>
  </si>
  <si>
    <t>IGR</t>
  </si>
  <si>
    <t>Years</t>
  </si>
  <si>
    <t>SGR</t>
  </si>
  <si>
    <t>N</t>
  </si>
  <si>
    <t>F</t>
  </si>
  <si>
    <t>C = PMT</t>
  </si>
  <si>
    <t>Per bond value</t>
  </si>
  <si>
    <t>Number of bonds</t>
  </si>
  <si>
    <t>Total bond value</t>
  </si>
  <si>
    <t>Value</t>
  </si>
  <si>
    <t>Weight</t>
  </si>
  <si>
    <t>Debt</t>
  </si>
  <si>
    <t>Common</t>
  </si>
  <si>
    <t>Preferred</t>
  </si>
  <si>
    <t>WACC (market based)</t>
  </si>
  <si>
    <t>Long-Run Growth</t>
  </si>
  <si>
    <t>Investor expected return</t>
  </si>
  <si>
    <t>Farm Hill Group, Ltd.</t>
  </si>
  <si>
    <t>Long term g</t>
  </si>
  <si>
    <t>Interest Bearing Debt</t>
  </si>
  <si>
    <t>Sales Forecast</t>
  </si>
  <si>
    <t>Market Increase</t>
  </si>
  <si>
    <r>
      <t xml:space="preserve">Assumed: WACC = </t>
    </r>
    <r>
      <rPr>
        <sz val="11"/>
        <color theme="1"/>
        <rFont val="Calibri"/>
        <family val="2"/>
        <scheme val="minor"/>
      </rPr>
      <t>k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= k</t>
    </r>
    <r>
      <rPr>
        <vertAlign val="subscript"/>
        <sz val="11"/>
        <color theme="1"/>
        <rFont val="Calibri"/>
        <family val="2"/>
        <scheme val="minor"/>
      </rPr>
      <t>tax</t>
    </r>
    <r>
      <rPr>
        <sz val="11"/>
        <color theme="1"/>
        <rFont val="Calibri"/>
        <family val="2"/>
        <scheme val="minor"/>
      </rPr>
      <t xml:space="preserve"> </t>
    </r>
  </si>
  <si>
    <t>Quality Premium</t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</si>
  <si>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= k</t>
    </r>
    <r>
      <rPr>
        <vertAlign val="subscript"/>
        <sz val="11"/>
        <color theme="1"/>
        <rFont val="Calibri"/>
        <family val="2"/>
        <scheme val="minor"/>
      </rPr>
      <t>d</t>
    </r>
  </si>
  <si>
    <r>
      <t>k</t>
    </r>
    <r>
      <rPr>
        <vertAlign val="subscript"/>
        <sz val="11"/>
        <color theme="1"/>
        <rFont val="Calibri"/>
        <family val="2"/>
        <scheme val="minor"/>
      </rPr>
      <t>TAX</t>
    </r>
  </si>
  <si>
    <t>Market Leader Premium</t>
  </si>
  <si>
    <t>WACC =</t>
  </si>
  <si>
    <t>Assume constant D/IC ratio</t>
  </si>
  <si>
    <t>Assume constant Rev/IC ratio</t>
  </si>
  <si>
    <t>Year</t>
  </si>
  <si>
    <t>Revenue</t>
  </si>
  <si>
    <t>COGS</t>
  </si>
  <si>
    <t>S &amp; A Expense</t>
  </si>
  <si>
    <t>Dep</t>
  </si>
  <si>
    <t>Interest Expense</t>
  </si>
  <si>
    <t>Invested Capital</t>
  </si>
  <si>
    <t>NOPLAT</t>
  </si>
  <si>
    <t>FA</t>
  </si>
  <si>
    <t>FCF</t>
  </si>
  <si>
    <t>ROIC</t>
  </si>
  <si>
    <r>
      <t xml:space="preserve">ECON </t>
    </r>
    <r>
      <rPr>
        <b/>
        <sz val="11"/>
        <color theme="1"/>
        <rFont val="Calibri"/>
        <family val="2"/>
      </rPr>
      <t>π</t>
    </r>
  </si>
  <si>
    <t>Forecast Ratios</t>
  </si>
  <si>
    <t>APV Model</t>
  </si>
  <si>
    <t>Economic Profit</t>
  </si>
  <si>
    <t>KVD</t>
  </si>
  <si>
    <r>
      <t>V</t>
    </r>
    <r>
      <rPr>
        <b/>
        <vertAlign val="subscript"/>
        <sz val="11"/>
        <color rgb="FF7030A0"/>
        <rFont val="Calibri"/>
        <family val="2"/>
        <scheme val="minor"/>
      </rPr>
      <t>FCF</t>
    </r>
  </si>
  <si>
    <r>
      <t>V</t>
    </r>
    <r>
      <rPr>
        <b/>
        <vertAlign val="subscript"/>
        <sz val="11"/>
        <color rgb="FF7030A0"/>
        <rFont val="Calibri"/>
        <family val="2"/>
        <scheme val="minor"/>
      </rPr>
      <t>TAX</t>
    </r>
  </si>
  <si>
    <t>Econ Profit</t>
  </si>
  <si>
    <r>
      <t>PV</t>
    </r>
    <r>
      <rPr>
        <b/>
        <vertAlign val="subscript"/>
        <sz val="11"/>
        <color rgb="FFFF0000"/>
        <rFont val="Calibri"/>
        <family val="2"/>
        <scheme val="minor"/>
      </rPr>
      <t>ECON</t>
    </r>
    <r>
      <rPr>
        <b/>
        <vertAlign val="subscript"/>
        <sz val="11"/>
        <color rgb="FFFF0000"/>
        <rFont val="Calibri"/>
        <family val="2"/>
      </rPr>
      <t>π</t>
    </r>
  </si>
  <si>
    <r>
      <t>Total PV</t>
    </r>
    <r>
      <rPr>
        <b/>
        <vertAlign val="subscript"/>
        <sz val="11"/>
        <color rgb="FFFF0000"/>
        <rFont val="Calibri"/>
        <family val="2"/>
        <scheme val="minor"/>
      </rPr>
      <t>ECON</t>
    </r>
    <r>
      <rPr>
        <b/>
        <vertAlign val="subscript"/>
        <sz val="11"/>
        <color rgb="FFFF0000"/>
        <rFont val="Calibri"/>
        <family val="2"/>
      </rPr>
      <t>π</t>
    </r>
  </si>
  <si>
    <r>
      <t>PV</t>
    </r>
    <r>
      <rPr>
        <b/>
        <vertAlign val="subscript"/>
        <sz val="11"/>
        <color rgb="FF008000"/>
        <rFont val="Calibri"/>
        <family val="2"/>
        <scheme val="minor"/>
      </rPr>
      <t>DCF(FCF)</t>
    </r>
  </si>
  <si>
    <r>
      <t>Total PV</t>
    </r>
    <r>
      <rPr>
        <b/>
        <vertAlign val="subscript"/>
        <sz val="11"/>
        <color rgb="FF008000"/>
        <rFont val="Calibri"/>
        <family val="2"/>
        <scheme val="minor"/>
      </rPr>
      <t>DCF(FCF)</t>
    </r>
  </si>
  <si>
    <r>
      <t>PV</t>
    </r>
    <r>
      <rPr>
        <b/>
        <vertAlign val="subscript"/>
        <sz val="11"/>
        <rFont val="Calibri"/>
        <family val="2"/>
        <scheme val="minor"/>
      </rPr>
      <t>DCF(FCF)</t>
    </r>
  </si>
  <si>
    <r>
      <t>Total PV</t>
    </r>
    <r>
      <rPr>
        <b/>
        <vertAlign val="subscript"/>
        <sz val="11"/>
        <rFont val="Calibri"/>
        <family val="2"/>
        <scheme val="minor"/>
      </rPr>
      <t>DCF(FCF)</t>
    </r>
  </si>
  <si>
    <r>
      <t>PV</t>
    </r>
    <r>
      <rPr>
        <b/>
        <vertAlign val="subscript"/>
        <sz val="11"/>
        <color rgb="FF7030A0"/>
        <rFont val="Calibri"/>
        <family val="2"/>
        <scheme val="minor"/>
      </rPr>
      <t>DCF(FCF)</t>
    </r>
  </si>
  <si>
    <r>
      <t>Total PV</t>
    </r>
    <r>
      <rPr>
        <b/>
        <vertAlign val="subscript"/>
        <sz val="11"/>
        <color rgb="FF7030A0"/>
        <rFont val="Calibri"/>
        <family val="2"/>
        <scheme val="minor"/>
      </rPr>
      <t>DCF(FCF)</t>
    </r>
  </si>
  <si>
    <t>Tax Shield</t>
  </si>
  <si>
    <r>
      <t>PV</t>
    </r>
    <r>
      <rPr>
        <b/>
        <vertAlign val="subscript"/>
        <sz val="11"/>
        <color rgb="FF7030A0"/>
        <rFont val="Calibri"/>
        <family val="2"/>
        <scheme val="minor"/>
      </rPr>
      <t>Tax Shield</t>
    </r>
  </si>
  <si>
    <r>
      <t>Total       PV</t>
    </r>
    <r>
      <rPr>
        <b/>
        <vertAlign val="subscript"/>
        <sz val="11"/>
        <color rgb="FF7030A0"/>
        <rFont val="Calibri"/>
        <family val="2"/>
        <scheme val="minor"/>
      </rPr>
      <t>Tax Shield</t>
    </r>
  </si>
  <si>
    <r>
      <t>PV</t>
    </r>
    <r>
      <rPr>
        <b/>
        <vertAlign val="subscript"/>
        <sz val="11"/>
        <color rgb="FF002060"/>
        <rFont val="Calibri"/>
        <family val="2"/>
        <scheme val="minor"/>
      </rPr>
      <t>DCF(FCF)</t>
    </r>
  </si>
  <si>
    <r>
      <t>Total PV</t>
    </r>
    <r>
      <rPr>
        <b/>
        <vertAlign val="subscript"/>
        <sz val="11"/>
        <color rgb="FF002060"/>
        <rFont val="Calibri"/>
        <family val="2"/>
        <scheme val="minor"/>
      </rPr>
      <t>DCF(FCF)</t>
    </r>
  </si>
  <si>
    <r>
      <t>PV</t>
    </r>
    <r>
      <rPr>
        <b/>
        <vertAlign val="subscript"/>
        <sz val="11"/>
        <color rgb="FF0000CC"/>
        <rFont val="Calibri"/>
        <family val="2"/>
        <scheme val="minor"/>
      </rPr>
      <t>DCF(FCF)</t>
    </r>
  </si>
  <si>
    <r>
      <t>Total PV</t>
    </r>
    <r>
      <rPr>
        <b/>
        <vertAlign val="subscript"/>
        <sz val="11"/>
        <color rgb="FF0000CC"/>
        <rFont val="Calibri"/>
        <family val="2"/>
        <scheme val="minor"/>
      </rPr>
      <t>DCF(FCF)</t>
    </r>
  </si>
  <si>
    <r>
      <t>PV</t>
    </r>
    <r>
      <rPr>
        <b/>
        <vertAlign val="subscript"/>
        <sz val="11"/>
        <color rgb="FF660066"/>
        <rFont val="Calibri"/>
        <family val="2"/>
        <scheme val="minor"/>
      </rPr>
      <t>DCF(FCF)</t>
    </r>
  </si>
  <si>
    <r>
      <t>Total PV</t>
    </r>
    <r>
      <rPr>
        <b/>
        <vertAlign val="subscript"/>
        <sz val="11"/>
        <color rgb="FF660066"/>
        <rFont val="Calibri"/>
        <family val="2"/>
        <scheme val="minor"/>
      </rPr>
      <t>DCF(FCF)</t>
    </r>
  </si>
  <si>
    <r>
      <t>IC</t>
    </r>
    <r>
      <rPr>
        <b/>
        <vertAlign val="subscript"/>
        <sz val="11"/>
        <color rgb="FFFF0000"/>
        <rFont val="Calibri"/>
        <family val="2"/>
      </rPr>
      <t>0</t>
    </r>
  </si>
  <si>
    <r>
      <t>PV</t>
    </r>
    <r>
      <rPr>
        <b/>
        <vertAlign val="subscript"/>
        <sz val="11"/>
        <rFont val="Calibri"/>
        <family val="2"/>
        <scheme val="minor"/>
      </rPr>
      <t>DCF</t>
    </r>
  </si>
  <si>
    <r>
      <t>PV</t>
    </r>
    <r>
      <rPr>
        <b/>
        <vertAlign val="subscript"/>
        <sz val="11"/>
        <color rgb="FF7030A0"/>
        <rFont val="Calibri"/>
        <family val="2"/>
        <scheme val="minor"/>
      </rPr>
      <t>DCF(TS)</t>
    </r>
  </si>
  <si>
    <r>
      <t>PV</t>
    </r>
    <r>
      <rPr>
        <b/>
        <vertAlign val="subscript"/>
        <sz val="11"/>
        <color rgb="FF002060"/>
        <rFont val="Calibri"/>
        <family val="2"/>
        <scheme val="minor"/>
      </rPr>
      <t>DCF</t>
    </r>
  </si>
  <si>
    <t>Target EV/EBIT</t>
  </si>
  <si>
    <r>
      <t>PV</t>
    </r>
    <r>
      <rPr>
        <b/>
        <vertAlign val="subscript"/>
        <sz val="11"/>
        <color rgb="FF0000CC"/>
        <rFont val="Calibri"/>
        <family val="2"/>
        <scheme val="minor"/>
      </rPr>
      <t>DCF</t>
    </r>
  </si>
  <si>
    <r>
      <t>PV</t>
    </r>
    <r>
      <rPr>
        <b/>
        <vertAlign val="subscript"/>
        <sz val="11"/>
        <color rgb="FF660066"/>
        <rFont val="Calibri"/>
        <family val="2"/>
        <scheme val="minor"/>
      </rPr>
      <t>DCF</t>
    </r>
  </si>
  <si>
    <r>
      <t>PV</t>
    </r>
    <r>
      <rPr>
        <b/>
        <vertAlign val="subscript"/>
        <sz val="11"/>
        <color rgb="FFFF0000"/>
        <rFont val="Calibri"/>
        <family val="2"/>
        <scheme val="minor"/>
      </rPr>
      <t>EXPLICIT</t>
    </r>
  </si>
  <si>
    <r>
      <t>CV</t>
    </r>
    <r>
      <rPr>
        <b/>
        <vertAlign val="subscript"/>
        <sz val="11"/>
        <color rgb="FF008000"/>
        <rFont val="Calibri"/>
        <family val="2"/>
        <scheme val="minor"/>
      </rPr>
      <t>FCF</t>
    </r>
  </si>
  <si>
    <r>
      <t>CV</t>
    </r>
    <r>
      <rPr>
        <b/>
        <vertAlign val="subscript"/>
        <sz val="11"/>
        <rFont val="Calibri"/>
        <family val="2"/>
        <scheme val="minor"/>
      </rPr>
      <t>KVD</t>
    </r>
  </si>
  <si>
    <r>
      <t>CV</t>
    </r>
    <r>
      <rPr>
        <b/>
        <vertAlign val="subscript"/>
        <sz val="11"/>
        <color rgb="FF7030A0"/>
        <rFont val="Calibri"/>
        <family val="2"/>
        <scheme val="minor"/>
      </rPr>
      <t>FCF</t>
    </r>
  </si>
  <si>
    <r>
      <t>CV</t>
    </r>
    <r>
      <rPr>
        <b/>
        <vertAlign val="subscript"/>
        <sz val="11"/>
        <color rgb="FF7030A0"/>
        <rFont val="Calibri"/>
        <family val="2"/>
        <scheme val="minor"/>
      </rPr>
      <t>TS</t>
    </r>
  </si>
  <si>
    <r>
      <t>CV</t>
    </r>
    <r>
      <rPr>
        <b/>
        <vertAlign val="subscript"/>
        <sz val="11"/>
        <color rgb="FF002060"/>
        <rFont val="Calibri"/>
        <family val="2"/>
        <scheme val="minor"/>
      </rPr>
      <t>FMM</t>
    </r>
  </si>
  <si>
    <r>
      <t>CV</t>
    </r>
    <r>
      <rPr>
        <b/>
        <vertAlign val="subscript"/>
        <sz val="11"/>
        <color rgb="FF0000CC"/>
        <rFont val="Calibri"/>
        <family val="2"/>
        <scheme val="minor"/>
      </rPr>
      <t>FMM</t>
    </r>
  </si>
  <si>
    <r>
      <t>CV</t>
    </r>
    <r>
      <rPr>
        <b/>
        <vertAlign val="subscript"/>
        <sz val="11"/>
        <color rgb="FF660066"/>
        <rFont val="Calibri"/>
        <family val="2"/>
        <scheme val="minor"/>
      </rPr>
      <t>FMM</t>
    </r>
  </si>
  <si>
    <r>
      <t>CV</t>
    </r>
    <r>
      <rPr>
        <b/>
        <vertAlign val="subscript"/>
        <sz val="11"/>
        <color rgb="FFFF0000"/>
        <rFont val="Calibri"/>
        <family val="2"/>
        <scheme val="minor"/>
      </rPr>
      <t xml:space="preserve">ECON </t>
    </r>
    <r>
      <rPr>
        <b/>
        <vertAlign val="subscript"/>
        <sz val="11"/>
        <color rgb="FFFF0000"/>
        <rFont val="Calibri"/>
        <family val="2"/>
      </rPr>
      <t>π</t>
    </r>
  </si>
  <si>
    <r>
      <t>PV</t>
    </r>
    <r>
      <rPr>
        <b/>
        <vertAlign val="subscript"/>
        <sz val="11"/>
        <color rgb="FF008000"/>
        <rFont val="Calibri"/>
        <family val="2"/>
        <scheme val="minor"/>
      </rPr>
      <t>CV(FCF)</t>
    </r>
  </si>
  <si>
    <r>
      <t>PV</t>
    </r>
    <r>
      <rPr>
        <b/>
        <vertAlign val="subscript"/>
        <sz val="11"/>
        <rFont val="Calibri"/>
        <family val="2"/>
        <scheme val="minor"/>
      </rPr>
      <t>CV</t>
    </r>
  </si>
  <si>
    <r>
      <t>PV</t>
    </r>
    <r>
      <rPr>
        <b/>
        <vertAlign val="subscript"/>
        <sz val="11"/>
        <color rgb="FF7030A0"/>
        <rFont val="Calibri"/>
        <family val="2"/>
        <scheme val="minor"/>
      </rPr>
      <t>CV(FCF)</t>
    </r>
  </si>
  <si>
    <r>
      <t>PV</t>
    </r>
    <r>
      <rPr>
        <b/>
        <vertAlign val="subscript"/>
        <sz val="11"/>
        <color rgb="FF7030A0"/>
        <rFont val="Calibri"/>
        <family val="2"/>
        <scheme val="minor"/>
      </rPr>
      <t>CV(TS)</t>
    </r>
  </si>
  <si>
    <r>
      <t>PV</t>
    </r>
    <r>
      <rPr>
        <b/>
        <vertAlign val="subscript"/>
        <sz val="11"/>
        <color rgb="FF002060"/>
        <rFont val="Calibri"/>
        <family val="2"/>
        <scheme val="minor"/>
      </rPr>
      <t>CV</t>
    </r>
  </si>
  <si>
    <r>
      <t>PV</t>
    </r>
    <r>
      <rPr>
        <b/>
        <vertAlign val="subscript"/>
        <sz val="11"/>
        <color rgb="FF0000CC"/>
        <rFont val="Calibri"/>
        <family val="2"/>
        <scheme val="minor"/>
      </rPr>
      <t>CV</t>
    </r>
  </si>
  <si>
    <r>
      <t>PV</t>
    </r>
    <r>
      <rPr>
        <b/>
        <vertAlign val="subscript"/>
        <sz val="11"/>
        <color rgb="FF660066"/>
        <rFont val="Calibri"/>
        <family val="2"/>
        <scheme val="minor"/>
      </rPr>
      <t>CV</t>
    </r>
  </si>
  <si>
    <r>
      <t>PV</t>
    </r>
    <r>
      <rPr>
        <b/>
        <vertAlign val="subscript"/>
        <sz val="11"/>
        <color rgb="FFFF0000"/>
        <rFont val="Calibri"/>
        <family val="2"/>
        <scheme val="minor"/>
      </rPr>
      <t>CV</t>
    </r>
  </si>
  <si>
    <r>
      <t>VALUE</t>
    </r>
    <r>
      <rPr>
        <b/>
        <vertAlign val="subscript"/>
        <sz val="11"/>
        <color rgb="FF008000"/>
        <rFont val="Calibri"/>
        <family val="2"/>
        <scheme val="minor"/>
      </rPr>
      <t>FCF</t>
    </r>
  </si>
  <si>
    <r>
      <t>VALUE</t>
    </r>
    <r>
      <rPr>
        <b/>
        <vertAlign val="subscript"/>
        <sz val="11"/>
        <rFont val="Calibri"/>
        <family val="2"/>
        <scheme val="minor"/>
      </rPr>
      <t>KVD</t>
    </r>
  </si>
  <si>
    <r>
      <t>VALUE</t>
    </r>
    <r>
      <rPr>
        <b/>
        <vertAlign val="subscript"/>
        <sz val="11"/>
        <color rgb="FF7030A0"/>
        <rFont val="Calibri"/>
        <family val="2"/>
        <scheme val="minor"/>
      </rPr>
      <t>FCF</t>
    </r>
  </si>
  <si>
    <r>
      <t>VALUE</t>
    </r>
    <r>
      <rPr>
        <b/>
        <vertAlign val="subscript"/>
        <sz val="11"/>
        <color rgb="FF7030A0"/>
        <rFont val="Calibri"/>
        <family val="2"/>
        <scheme val="minor"/>
      </rPr>
      <t>TAX</t>
    </r>
  </si>
  <si>
    <r>
      <t>VALUE</t>
    </r>
    <r>
      <rPr>
        <b/>
        <vertAlign val="subscript"/>
        <sz val="11"/>
        <color rgb="FF002060"/>
        <rFont val="Calibri"/>
        <family val="2"/>
        <scheme val="minor"/>
      </rPr>
      <t>FMM</t>
    </r>
  </si>
  <si>
    <r>
      <t>VALUE</t>
    </r>
    <r>
      <rPr>
        <b/>
        <vertAlign val="subscript"/>
        <sz val="11"/>
        <color rgb="FF0000CC"/>
        <rFont val="Calibri"/>
        <family val="2"/>
        <scheme val="minor"/>
      </rPr>
      <t>FMM</t>
    </r>
  </si>
  <si>
    <r>
      <t>VALUE</t>
    </r>
    <r>
      <rPr>
        <b/>
        <vertAlign val="subscript"/>
        <sz val="11"/>
        <color rgb="FF660066"/>
        <rFont val="Calibri"/>
        <family val="2"/>
        <scheme val="minor"/>
      </rPr>
      <t>FMM</t>
    </r>
  </si>
  <si>
    <r>
      <t>VALUE</t>
    </r>
    <r>
      <rPr>
        <b/>
        <vertAlign val="subscript"/>
        <sz val="11"/>
        <color rgb="FFFF0000"/>
        <rFont val="Calibri"/>
        <family val="2"/>
        <scheme val="minor"/>
      </rPr>
      <t xml:space="preserve">ECON </t>
    </r>
    <r>
      <rPr>
        <b/>
        <vertAlign val="subscript"/>
        <sz val="11"/>
        <color rgb="FFFF0000"/>
        <rFont val="Calibri"/>
        <family val="2"/>
      </rPr>
      <t>π</t>
    </r>
  </si>
  <si>
    <r>
      <t>VALUE</t>
    </r>
    <r>
      <rPr>
        <b/>
        <vertAlign val="subscript"/>
        <sz val="11"/>
        <color rgb="FF7030A0"/>
        <rFont val="Calibri"/>
        <family val="2"/>
        <scheme val="minor"/>
      </rPr>
      <t>APV</t>
    </r>
  </si>
  <si>
    <t>Investor Required Return</t>
  </si>
  <si>
    <r>
      <t>Best Owner Premium</t>
    </r>
    <r>
      <rPr>
        <vertAlign val="superscript"/>
        <sz val="11"/>
        <color theme="1"/>
        <rFont val="Calibri"/>
        <family val="2"/>
        <scheme val="minor"/>
      </rPr>
      <t>1,2</t>
    </r>
  </si>
  <si>
    <t>Best Owner Premium assumed to be non-persistant beyond the second year - expected to decrease to 1% after first year and another 1% after second year - not present in year 3.</t>
  </si>
  <si>
    <t>Best Owner Premium for Interest assumes all debt is refinanced at current cost of borrowing based on new owner's credit capacity</t>
  </si>
  <si>
    <t>Subject Income Variable</t>
  </si>
  <si>
    <t>TAX</t>
  </si>
  <si>
    <t>Avg Tax Rate</t>
  </si>
  <si>
    <t>Taxable Income Over</t>
  </si>
  <si>
    <t>But Not Over</t>
  </si>
  <si>
    <t>Tax Rate</t>
  </si>
  <si>
    <t>Tax in bracket</t>
  </si>
  <si>
    <t>Running Total</t>
  </si>
  <si>
    <t>Book Value / Liabilities</t>
  </si>
  <si>
    <t>TS</t>
  </si>
  <si>
    <t>Estimated Discount Rate</t>
  </si>
  <si>
    <t>Estimated Long-Run Growth</t>
  </si>
  <si>
    <t>FCF Model</t>
  </si>
  <si>
    <t>Discount Rate</t>
  </si>
  <si>
    <t>FMM (EV/EBIT observed)</t>
  </si>
  <si>
    <t>FMM (EV/EBIT Target)</t>
  </si>
  <si>
    <t>Observed EV/EBIT</t>
  </si>
  <si>
    <t>Int Exp</t>
  </si>
  <si>
    <t>IC</t>
  </si>
  <si>
    <t>Valuations using Investor Required Return (uses Mkt Val with BOP and Investor r estimates)</t>
  </si>
  <si>
    <t>S&amp;A Exp</t>
  </si>
  <si>
    <t>KVD Model ROIC</t>
  </si>
  <si>
    <t>FMM Model EV/EBIT</t>
  </si>
  <si>
    <t>Multi Model Panel: variable r, g, model form</t>
  </si>
  <si>
    <t>KVD Panel: variable r, g, ROIC</t>
  </si>
  <si>
    <t>FMM Panel: variable r, g, EV/EBIT</t>
  </si>
  <si>
    <t>ROIC =</t>
  </si>
  <si>
    <t>Long-Run Growth (g)</t>
  </si>
  <si>
    <t xml:space="preserve">EV/EBIT = </t>
  </si>
  <si>
    <r>
      <t>APV Panel: variable k</t>
    </r>
    <r>
      <rPr>
        <b/>
        <vertAlign val="subscript"/>
        <sz val="11"/>
        <color rgb="FF7030A0"/>
        <rFont val="Calibri"/>
        <family val="2"/>
        <scheme val="minor"/>
      </rPr>
      <t>U</t>
    </r>
    <r>
      <rPr>
        <b/>
        <sz val="11"/>
        <color rgb="FF7030A0"/>
        <rFont val="Calibri"/>
        <family val="2"/>
        <scheme val="minor"/>
      </rPr>
      <t>, k</t>
    </r>
    <r>
      <rPr>
        <b/>
        <vertAlign val="subscript"/>
        <sz val="11"/>
        <color rgb="FF7030A0"/>
        <rFont val="Calibri"/>
        <family val="2"/>
        <scheme val="minor"/>
      </rPr>
      <t>TAX</t>
    </r>
    <r>
      <rPr>
        <b/>
        <sz val="11"/>
        <color rgb="FF7030A0"/>
        <rFont val="Calibri"/>
        <family val="2"/>
        <scheme val="minor"/>
      </rPr>
      <t>, g, ROIC</t>
    </r>
  </si>
  <si>
    <r>
      <t>k</t>
    </r>
    <r>
      <rPr>
        <b/>
        <vertAlign val="subscript"/>
        <sz val="11"/>
        <color rgb="FF7030A0"/>
        <rFont val="Calibri"/>
        <family val="2"/>
        <scheme val="minor"/>
      </rPr>
      <t xml:space="preserve">TAX </t>
    </r>
    <r>
      <rPr>
        <b/>
        <sz val="11"/>
        <color rgb="FF7030A0"/>
        <rFont val="Calibri"/>
        <family val="2"/>
        <scheme val="minor"/>
      </rPr>
      <t>=</t>
    </r>
  </si>
  <si>
    <r>
      <t>Discount Rate change above and below estimated - this changes r, k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, and k</t>
    </r>
    <r>
      <rPr>
        <vertAlign val="subscript"/>
        <sz val="11"/>
        <color theme="1"/>
        <rFont val="Calibri"/>
        <family val="2"/>
        <scheme val="minor"/>
      </rPr>
      <t>TAX</t>
    </r>
  </si>
  <si>
    <t>ROIC change above and below estimated - this changes the continuation term in the KVD estimation</t>
  </si>
  <si>
    <t>Long Run Growth change above and below estimated - this effect portions of each of the various models under examination</t>
  </si>
  <si>
    <t>EV/EBIT Multiple change above and below observed - this changes the terminal value (continuation value) in the FMM estimations</t>
  </si>
  <si>
    <r>
      <t xml:space="preserve">ECON </t>
    </r>
    <r>
      <rPr>
        <b/>
        <sz val="11"/>
        <color rgb="FFFF0000"/>
        <rFont val="Calibri"/>
        <family val="2"/>
      </rPr>
      <t>π</t>
    </r>
    <r>
      <rPr>
        <b/>
        <sz val="11"/>
        <color rgb="FFFF0000"/>
        <rFont val="Calibri"/>
        <family val="2"/>
        <scheme val="minor"/>
      </rPr>
      <t xml:space="preserve"> Model</t>
    </r>
  </si>
  <si>
    <r>
      <t>k</t>
    </r>
    <r>
      <rPr>
        <b/>
        <vertAlign val="subscript"/>
        <sz val="11"/>
        <color rgb="FF7030A0"/>
        <rFont val="Calibri"/>
        <family val="2"/>
        <scheme val="minor"/>
      </rPr>
      <t>U</t>
    </r>
    <r>
      <rPr>
        <b/>
        <sz val="11"/>
        <color rgb="FF7030A0"/>
        <rFont val="Calibri"/>
        <family val="2"/>
        <scheme val="minor"/>
      </rPr>
      <t xml:space="preserve"> = Investor Req Return</t>
    </r>
  </si>
  <si>
    <t>Valuations using WACC (uses Mkt Val without BOP and WACC estimates)</t>
  </si>
  <si>
    <r>
      <t>Discount Rate change above and below estimated - this changes WACC, k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, and k</t>
    </r>
    <r>
      <rPr>
        <vertAlign val="subscript"/>
        <sz val="11"/>
        <color theme="1"/>
        <rFont val="Calibri"/>
        <family val="2"/>
        <scheme val="minor"/>
      </rPr>
      <t>TAX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</si>
</sst>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_(* #,##0.000_);_(* \(#,##0.000\);_(* &quot;-&quot;??_);_(@_)"/>
    <numFmt numFmtId="168" formatCode="_(* #,##0_);_(* \(#,##0\);_(* &quot;-&quot;??_);_(@_)"/>
    <numFmt numFmtId="169" formatCode="0.000%"/>
    <numFmt numFmtId="170" formatCode="_(* #,##0.0000_);_(* \(#,##0.0000\);_(* &quot;-&quot;??_);_(@_)"/>
    <numFmt numFmtId="171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vertAlign val="subscript"/>
      <sz val="11"/>
      <color rgb="FF7030A0"/>
      <name val="Calibri"/>
      <family val="2"/>
      <scheme val="minor"/>
    </font>
    <font>
      <b/>
      <vertAlign val="subscript"/>
      <sz val="11"/>
      <color rgb="FFFF0000"/>
      <name val="Calibri"/>
      <family val="2"/>
    </font>
    <font>
      <b/>
      <sz val="11"/>
      <color rgb="FF008000"/>
      <name val="Calibri"/>
      <family val="2"/>
      <scheme val="minor"/>
    </font>
    <font>
      <b/>
      <vertAlign val="subscript"/>
      <sz val="11"/>
      <color rgb="FF008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vertAlign val="subscript"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vertAlign val="subscript"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660066"/>
      <name val="Calibri"/>
      <family val="2"/>
      <scheme val="minor"/>
    </font>
    <font>
      <b/>
      <vertAlign val="subscript"/>
      <sz val="11"/>
      <color rgb="FF660066"/>
      <name val="Calibri"/>
      <family val="2"/>
      <scheme val="minor"/>
    </font>
    <font>
      <sz val="11"/>
      <color rgb="FF66006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/>
    </xf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>
      <alignment horizontal="center" wrapText="1"/>
    </xf>
    <xf numFmtId="164" fontId="5" fillId="0" borderId="0" xfId="0" applyNumberFormat="1" applyFont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 wrapText="1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/>
    <xf numFmtId="0" fontId="6" fillId="0" borderId="0" xfId="0" applyFont="1"/>
    <xf numFmtId="0" fontId="2" fillId="0" borderId="0" xfId="0" applyFont="1"/>
    <xf numFmtId="0" fontId="2" fillId="0" borderId="0" xfId="0" applyFont="1" applyAlignment="1"/>
    <xf numFmtId="0" fontId="14" fillId="0" borderId="0" xfId="0" applyFont="1" applyAlignment="1">
      <alignment horizontal="center" wrapText="1"/>
    </xf>
    <xf numFmtId="165" fontId="16" fillId="0" borderId="0" xfId="0" applyNumberFormat="1" applyFont="1"/>
    <xf numFmtId="0" fontId="16" fillId="0" borderId="0" xfId="0" applyFont="1"/>
    <xf numFmtId="0" fontId="5" fillId="0" borderId="0" xfId="0" applyFont="1" applyAlignment="1">
      <alignment horizontal="center"/>
    </xf>
    <xf numFmtId="165" fontId="0" fillId="0" borderId="0" xfId="0" applyNumberFormat="1"/>
    <xf numFmtId="0" fontId="11" fillId="0" borderId="0" xfId="0" applyFont="1" applyAlignment="1">
      <alignment horizontal="center" wrapText="1"/>
    </xf>
    <xf numFmtId="165" fontId="1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2" fillId="0" borderId="5" xfId="0" applyFont="1" applyBorder="1"/>
    <xf numFmtId="167" fontId="0" fillId="0" borderId="0" xfId="0" applyNumberFormat="1" applyBorder="1"/>
    <xf numFmtId="167" fontId="0" fillId="0" borderId="0" xfId="1" applyNumberFormat="1" applyFont="1" applyBorder="1"/>
    <xf numFmtId="167" fontId="0" fillId="0" borderId="5" xfId="1" applyNumberFormat="1" applyFont="1" applyBorder="1"/>
    <xf numFmtId="165" fontId="0" fillId="0" borderId="0" xfId="0" applyNumberFormat="1" applyBorder="1"/>
    <xf numFmtId="165" fontId="0" fillId="0" borderId="5" xfId="1" applyNumberFormat="1" applyFont="1" applyBorder="1"/>
    <xf numFmtId="167" fontId="0" fillId="0" borderId="6" xfId="1" applyNumberFormat="1" applyFont="1" applyBorder="1"/>
    <xf numFmtId="167" fontId="0" fillId="0" borderId="7" xfId="1" applyNumberFormat="1" applyFont="1" applyBorder="1"/>
    <xf numFmtId="165" fontId="0" fillId="0" borderId="0" xfId="0" applyNumberFormat="1" applyFill="1" applyBorder="1"/>
    <xf numFmtId="165" fontId="0" fillId="0" borderId="6" xfId="0" applyNumberFormat="1" applyFill="1" applyBorder="1"/>
    <xf numFmtId="165" fontId="0" fillId="0" borderId="7" xfId="0" applyNumberFormat="1" applyBorder="1"/>
    <xf numFmtId="165" fontId="0" fillId="0" borderId="0" xfId="1" applyNumberFormat="1" applyFont="1" applyBorder="1"/>
    <xf numFmtId="167" fontId="0" fillId="0" borderId="0" xfId="0" applyNumberFormat="1" applyFill="1" applyBorder="1"/>
    <xf numFmtId="0" fontId="0" fillId="0" borderId="0" xfId="0" applyFill="1" applyBorder="1"/>
    <xf numFmtId="165" fontId="0" fillId="0" borderId="6" xfId="0" applyNumberFormat="1" applyBorder="1"/>
    <xf numFmtId="167" fontId="0" fillId="0" borderId="0" xfId="0" applyNumberFormat="1"/>
    <xf numFmtId="0" fontId="0" fillId="0" borderId="8" xfId="0" applyBorder="1"/>
    <xf numFmtId="167" fontId="0" fillId="0" borderId="6" xfId="0" applyNumberFormat="1" applyBorder="1"/>
    <xf numFmtId="167" fontId="0" fillId="0" borderId="4" xfId="0" applyNumberFormat="1" applyBorder="1"/>
    <xf numFmtId="0" fontId="2" fillId="0" borderId="0" xfId="1" applyNumberFormat="1" applyFont="1" applyBorder="1"/>
    <xf numFmtId="0" fontId="2" fillId="0" borderId="5" xfId="1" applyNumberFormat="1" applyFont="1" applyBorder="1"/>
    <xf numFmtId="165" fontId="0" fillId="0" borderId="9" xfId="1" applyNumberFormat="1" applyFont="1" applyBorder="1"/>
    <xf numFmtId="167" fontId="0" fillId="0" borderId="5" xfId="0" applyNumberFormat="1" applyBorder="1"/>
    <xf numFmtId="167" fontId="0" fillId="0" borderId="7" xfId="0" applyNumberFormat="1" applyBorder="1"/>
    <xf numFmtId="0" fontId="0" fillId="0" borderId="6" xfId="0" applyBorder="1"/>
    <xf numFmtId="43" fontId="0" fillId="0" borderId="0" xfId="0" applyNumberFormat="1"/>
    <xf numFmtId="168" fontId="0" fillId="0" borderId="0" xfId="0" applyNumberFormat="1"/>
    <xf numFmtId="168" fontId="0" fillId="0" borderId="0" xfId="1" applyNumberFormat="1" applyFont="1"/>
    <xf numFmtId="164" fontId="0" fillId="0" borderId="0" xfId="2" applyNumberFormat="1" applyFont="1"/>
    <xf numFmtId="10" fontId="0" fillId="0" borderId="0" xfId="2" applyNumberFormat="1" applyFont="1"/>
    <xf numFmtId="0" fontId="1" fillId="0" borderId="0" xfId="0" applyFont="1"/>
    <xf numFmtId="43" fontId="0" fillId="0" borderId="0" xfId="0" applyNumberFormat="1" applyFill="1"/>
    <xf numFmtId="169" fontId="0" fillId="0" borderId="0" xfId="2" applyNumberFormat="1" applyFont="1"/>
    <xf numFmtId="164" fontId="0" fillId="0" borderId="0" xfId="2" quotePrefix="1" applyNumberFormat="1" applyFont="1" applyAlignment="1">
      <alignment horizontal="right"/>
    </xf>
    <xf numFmtId="169" fontId="0" fillId="0" borderId="0" xfId="0" applyNumberFormat="1"/>
    <xf numFmtId="170" fontId="0" fillId="0" borderId="0" xfId="0" applyNumberFormat="1"/>
    <xf numFmtId="0" fontId="6" fillId="0" borderId="0" xfId="0" applyFont="1" applyAlignment="1">
      <alignment vertical="center"/>
    </xf>
    <xf numFmtId="167" fontId="0" fillId="0" borderId="0" xfId="1" applyNumberFormat="1" applyFont="1"/>
    <xf numFmtId="8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/>
    <xf numFmtId="165" fontId="0" fillId="0" borderId="6" xfId="1" applyNumberFormat="1" applyFont="1" applyBorder="1"/>
    <xf numFmtId="165" fontId="0" fillId="0" borderId="0" xfId="1" quotePrefix="1" applyNumberFormat="1" applyFont="1" applyBorder="1"/>
    <xf numFmtId="165" fontId="0" fillId="0" borderId="2" xfId="0" applyNumberFormat="1" applyBorder="1"/>
    <xf numFmtId="0" fontId="2" fillId="0" borderId="4" xfId="0" applyFont="1" applyBorder="1" applyAlignment="1"/>
    <xf numFmtId="0" fontId="8" fillId="0" borderId="0" xfId="0" applyFont="1" applyAlignment="1">
      <alignment horizontal="center" wrapText="1"/>
    </xf>
    <xf numFmtId="165" fontId="19" fillId="0" borderId="0" xfId="0" applyNumberFormat="1" applyFont="1"/>
    <xf numFmtId="0" fontId="19" fillId="0" borderId="0" xfId="0" applyFont="1"/>
    <xf numFmtId="0" fontId="20" fillId="0" borderId="0" xfId="0" applyFont="1" applyAlignment="1">
      <alignment horizontal="center" wrapText="1"/>
    </xf>
    <xf numFmtId="165" fontId="22" fillId="0" borderId="0" xfId="0" applyNumberFormat="1" applyFont="1" applyAlignment="1">
      <alignment horizontal="center"/>
    </xf>
    <xf numFmtId="0" fontId="22" fillId="0" borderId="0" xfId="0" applyFont="1"/>
    <xf numFmtId="10" fontId="0" fillId="0" borderId="0" xfId="2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right"/>
    </xf>
    <xf numFmtId="165" fontId="10" fillId="0" borderId="0" xfId="0" applyNumberFormat="1" applyFont="1"/>
    <xf numFmtId="0" fontId="2" fillId="0" borderId="0" xfId="0" applyFont="1" applyAlignment="1">
      <alignment horizontal="right" wrapText="1"/>
    </xf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22" fillId="0" borderId="0" xfId="0" applyNumberFormat="1" applyFont="1"/>
    <xf numFmtId="165" fontId="22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65" fontId="22" fillId="0" borderId="0" xfId="1" applyNumberFormat="1" applyFont="1" applyAlignment="1">
      <alignment horizontal="right"/>
    </xf>
    <xf numFmtId="10" fontId="0" fillId="0" borderId="0" xfId="2" applyNumberFormat="1" applyFont="1" applyAlignment="1">
      <alignment horizontal="center" wrapText="1"/>
    </xf>
    <xf numFmtId="10" fontId="0" fillId="0" borderId="0" xfId="2" quotePrefix="1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165" fontId="26" fillId="0" borderId="0" xfId="0" applyNumberFormat="1" applyFont="1" applyAlignment="1">
      <alignment horizontal="center"/>
    </xf>
    <xf numFmtId="165" fontId="26" fillId="0" borderId="0" xfId="0" applyNumberFormat="1" applyFont="1"/>
    <xf numFmtId="0" fontId="26" fillId="0" borderId="0" xfId="0" applyFont="1"/>
    <xf numFmtId="165" fontId="24" fillId="0" borderId="0" xfId="0" applyNumberFormat="1" applyFont="1" applyAlignment="1">
      <alignment horizontal="right"/>
    </xf>
    <xf numFmtId="165" fontId="26" fillId="0" borderId="0" xfId="0" applyNumberFormat="1" applyFont="1" applyAlignment="1">
      <alignment horizontal="right"/>
    </xf>
    <xf numFmtId="165" fontId="26" fillId="0" borderId="0" xfId="0" applyNumberFormat="1" applyFont="1" applyBorder="1" applyAlignment="1">
      <alignment horizontal="center"/>
    </xf>
    <xf numFmtId="165" fontId="26" fillId="0" borderId="0" xfId="1" applyNumberFormat="1" applyFont="1" applyAlignment="1">
      <alignment horizontal="right"/>
    </xf>
    <xf numFmtId="0" fontId="27" fillId="0" borderId="0" xfId="0" applyFont="1" applyAlignment="1">
      <alignment horizontal="center" wrapText="1"/>
    </xf>
    <xf numFmtId="165" fontId="29" fillId="0" borderId="0" xfId="0" applyNumberFormat="1" applyFont="1" applyAlignment="1">
      <alignment horizontal="center"/>
    </xf>
    <xf numFmtId="165" fontId="29" fillId="0" borderId="0" xfId="0" applyNumberFormat="1" applyFont="1"/>
    <xf numFmtId="0" fontId="29" fillId="0" borderId="0" xfId="0" applyFont="1"/>
    <xf numFmtId="165" fontId="27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165" fontId="29" fillId="0" borderId="0" xfId="1" applyNumberFormat="1" applyFont="1" applyAlignment="1">
      <alignment horizontal="right"/>
    </xf>
    <xf numFmtId="165" fontId="29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 vertical="center" textRotation="90"/>
    </xf>
    <xf numFmtId="0" fontId="6" fillId="0" borderId="0" xfId="0" applyFont="1" applyAlignment="1"/>
    <xf numFmtId="0" fontId="19" fillId="0" borderId="0" xfId="0" applyFont="1" applyAlignment="1">
      <alignment horizontal="center"/>
    </xf>
    <xf numFmtId="43" fontId="0" fillId="0" borderId="0" xfId="0" applyNumberFormat="1" applyBorder="1"/>
    <xf numFmtId="0" fontId="2" fillId="0" borderId="0" xfId="0" applyFont="1" applyAlignment="1">
      <alignment vertic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3" fontId="16" fillId="0" borderId="0" xfId="1" applyFont="1"/>
    <xf numFmtId="10" fontId="14" fillId="0" borderId="0" xfId="0" applyNumberFormat="1" applyFont="1"/>
    <xf numFmtId="0" fontId="19" fillId="0" borderId="0" xfId="0" applyFont="1" applyFill="1"/>
    <xf numFmtId="10" fontId="8" fillId="0" borderId="0" xfId="0" applyNumberFormat="1" applyFont="1" applyFill="1"/>
    <xf numFmtId="43" fontId="19" fillId="0" borderId="0" xfId="1" applyFont="1" applyFill="1"/>
    <xf numFmtId="0" fontId="10" fillId="0" borderId="0" xfId="0" applyFont="1" applyFill="1"/>
    <xf numFmtId="10" fontId="11" fillId="0" borderId="0" xfId="0" applyNumberFormat="1" applyFont="1" applyFill="1"/>
    <xf numFmtId="43" fontId="10" fillId="0" borderId="0" xfId="1" applyFont="1"/>
    <xf numFmtId="0" fontId="30" fillId="0" borderId="0" xfId="0" applyFont="1"/>
    <xf numFmtId="43" fontId="22" fillId="0" borderId="0" xfId="1" applyFont="1"/>
    <xf numFmtId="165" fontId="20" fillId="0" borderId="0" xfId="0" applyNumberFormat="1" applyFont="1" applyAlignment="1">
      <alignment horizontal="center"/>
    </xf>
    <xf numFmtId="10" fontId="20" fillId="0" borderId="0" xfId="0" applyNumberFormat="1" applyFont="1"/>
    <xf numFmtId="0" fontId="20" fillId="0" borderId="0" xfId="0" applyFont="1" applyFill="1" applyAlignment="1">
      <alignment vertical="center" textRotation="180"/>
    </xf>
    <xf numFmtId="165" fontId="0" fillId="0" borderId="0" xfId="1" applyNumberFormat="1" applyFont="1"/>
    <xf numFmtId="43" fontId="19" fillId="0" borderId="0" xfId="1" applyNumberFormat="1" applyFont="1" applyFill="1"/>
    <xf numFmtId="2" fontId="20" fillId="0" borderId="0" xfId="0" applyNumberFormat="1" applyFont="1" applyAlignment="1">
      <alignment horizontal="center" textRotation="180"/>
    </xf>
    <xf numFmtId="0" fontId="20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wrapText="1"/>
    </xf>
    <xf numFmtId="2" fontId="20" fillId="0" borderId="0" xfId="0" applyNumberFormat="1" applyFont="1" applyAlignment="1">
      <alignment horizontal="center" textRotation="180"/>
    </xf>
    <xf numFmtId="165" fontId="0" fillId="0" borderId="0" xfId="1" applyNumberFormat="1" applyFont="1" applyAlignment="1">
      <alignment horizontal="center"/>
    </xf>
    <xf numFmtId="0" fontId="20" fillId="0" borderId="0" xfId="0" applyFont="1" applyAlignment="1">
      <alignment vertical="center" textRotation="90"/>
    </xf>
    <xf numFmtId="0" fontId="8" fillId="0" borderId="0" xfId="0" applyFont="1" applyFill="1" applyAlignment="1">
      <alignment horizontal="center" textRotation="180" wrapText="1"/>
    </xf>
    <xf numFmtId="10" fontId="8" fillId="0" borderId="0" xfId="2" applyNumberFormat="1" applyFont="1" applyFill="1" applyAlignment="1">
      <alignment horizontal="center" vertical="top" textRotation="180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7" fontId="0" fillId="0" borderId="0" xfId="1" applyNumberFormat="1" applyFont="1" applyAlignment="1">
      <alignment vertical="center"/>
    </xf>
    <xf numFmtId="10" fontId="6" fillId="0" borderId="0" xfId="0" applyNumberFormat="1" applyFont="1"/>
    <xf numFmtId="43" fontId="5" fillId="0" borderId="0" xfId="1" applyFont="1"/>
    <xf numFmtId="0" fontId="6" fillId="0" borderId="0" xfId="0" applyFont="1" applyAlignment="1">
      <alignment horizontal="center" vertical="center" textRotation="90"/>
    </xf>
    <xf numFmtId="165" fontId="0" fillId="0" borderId="0" xfId="1" applyNumberFormat="1" applyFont="1" applyAlignment="1"/>
    <xf numFmtId="165" fontId="0" fillId="0" borderId="0" xfId="0" applyNumberFormat="1" applyAlignment="1"/>
    <xf numFmtId="171" fontId="8" fillId="0" borderId="0" xfId="2" applyNumberFormat="1" applyFont="1" applyFill="1" applyAlignment="1">
      <alignment horizontal="center" vertical="top" textRotation="180"/>
    </xf>
    <xf numFmtId="2" fontId="6" fillId="0" borderId="0" xfId="0" applyNumberFormat="1" applyFont="1" applyAlignment="1">
      <alignment horizontal="center" textRotation="180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0" fontId="19" fillId="0" borderId="0" xfId="0" applyNumberFormat="1" applyFont="1"/>
    <xf numFmtId="165" fontId="19" fillId="0" borderId="0" xfId="0" applyNumberFormat="1" applyFont="1" applyAlignment="1"/>
    <xf numFmtId="167" fontId="19" fillId="0" borderId="0" xfId="1" applyNumberFormat="1" applyFont="1"/>
    <xf numFmtId="164" fontId="19" fillId="0" borderId="0" xfId="0" applyNumberFormat="1" applyFont="1"/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 textRotation="90"/>
    </xf>
    <xf numFmtId="165" fontId="10" fillId="0" borderId="0" xfId="0" applyNumberFormat="1" applyFont="1" applyAlignment="1">
      <alignment vertical="center"/>
    </xf>
    <xf numFmtId="167" fontId="22" fillId="0" borderId="0" xfId="1" applyNumberFormat="1" applyFont="1" applyAlignment="1">
      <alignment vertical="center"/>
    </xf>
    <xf numFmtId="164" fontId="0" fillId="0" borderId="0" xfId="1" applyNumberFormat="1" applyFont="1"/>
    <xf numFmtId="10" fontId="0" fillId="0" borderId="0" xfId="2" applyNumberFormat="1" applyFont="1" applyAlignment="1">
      <alignment horizontal="right"/>
    </xf>
    <xf numFmtId="0" fontId="2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167" fontId="0" fillId="0" borderId="0" xfId="0" applyNumberForma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20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24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/>
    </xf>
    <xf numFmtId="165" fontId="27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180"/>
    </xf>
    <xf numFmtId="0" fontId="2" fillId="0" borderId="0" xfId="0" applyFont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textRotation="180"/>
    </xf>
    <xf numFmtId="0" fontId="8" fillId="0" borderId="0" xfId="0" applyFont="1" applyFill="1" applyAlignment="1">
      <alignment horizontal="center" vertical="center" textRotation="180" wrapText="1"/>
    </xf>
    <xf numFmtId="0" fontId="11" fillId="0" borderId="0" xfId="0" applyFont="1" applyFill="1" applyAlignment="1">
      <alignment horizontal="center" vertical="center" textRotation="180"/>
    </xf>
    <xf numFmtId="0" fontId="20" fillId="0" borderId="0" xfId="0" applyFont="1" applyAlignment="1">
      <alignment horizontal="center" vertical="center" textRotation="180" wrapText="1"/>
    </xf>
    <xf numFmtId="0" fontId="2" fillId="0" borderId="0" xfId="0" applyFont="1" applyAlignment="1">
      <alignment horizontal="center" wrapText="1"/>
    </xf>
    <xf numFmtId="10" fontId="0" fillId="0" borderId="0" xfId="2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textRotation="180" wrapText="1"/>
    </xf>
    <xf numFmtId="0" fontId="11" fillId="0" borderId="0" xfId="0" applyFont="1" applyAlignment="1">
      <alignment horizontal="center" textRotation="180" wrapText="1"/>
    </xf>
    <xf numFmtId="0" fontId="20" fillId="0" borderId="0" xfId="0" applyFont="1" applyAlignment="1">
      <alignment horizontal="center" textRotation="180"/>
    </xf>
    <xf numFmtId="0" fontId="14" fillId="0" borderId="0" xfId="0" applyFont="1" applyAlignment="1">
      <alignment horizontal="center" vertical="center" textRotation="90"/>
    </xf>
    <xf numFmtId="0" fontId="11" fillId="0" borderId="0" xfId="0" applyFont="1" applyFill="1" applyAlignment="1">
      <alignment horizontal="center" vertical="center" textRotation="90" wrapText="1"/>
    </xf>
    <xf numFmtId="10" fontId="8" fillId="0" borderId="0" xfId="2" applyNumberFormat="1" applyFont="1" applyFill="1" applyAlignment="1">
      <alignment horizontal="center" vertical="top" textRotation="180"/>
    </xf>
    <xf numFmtId="10" fontId="11" fillId="0" borderId="0" xfId="2" applyNumberFormat="1" applyFont="1" applyFill="1" applyAlignment="1">
      <alignment horizontal="center" vertical="center" textRotation="180"/>
    </xf>
    <xf numFmtId="2" fontId="20" fillId="0" borderId="0" xfId="0" applyNumberFormat="1" applyFont="1" applyAlignment="1">
      <alignment horizontal="center" vertical="top" textRotation="180"/>
    </xf>
    <xf numFmtId="0" fontId="20" fillId="0" borderId="0" xfId="0" applyFont="1" applyAlignment="1">
      <alignment horizontal="center" vertical="center" textRotation="90"/>
    </xf>
    <xf numFmtId="171" fontId="8" fillId="0" borderId="0" xfId="2" applyNumberFormat="1" applyFont="1" applyFill="1" applyAlignment="1">
      <alignment horizontal="center" vertical="center" textRotation="180"/>
    </xf>
    <xf numFmtId="2" fontId="20" fillId="0" borderId="0" xfId="0" applyNumberFormat="1" applyFont="1" applyAlignment="1">
      <alignment horizontal="center" textRotation="180"/>
    </xf>
    <xf numFmtId="0" fontId="11" fillId="0" borderId="0" xfId="0" applyFont="1" applyAlignment="1">
      <alignment horizontal="center" vertical="center" textRotation="90"/>
    </xf>
    <xf numFmtId="171" fontId="8" fillId="0" borderId="0" xfId="2" applyNumberFormat="1" applyFont="1" applyFill="1" applyAlignment="1">
      <alignment horizontal="center" vertical="top" textRotation="18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00"/>
      <color rgb="FF6600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2"/>
  <sheetViews>
    <sheetView zoomScale="80" zoomScaleNormal="80" workbookViewId="0">
      <selection activeCell="K72" sqref="K72"/>
    </sheetView>
  </sheetViews>
  <sheetFormatPr defaultRowHeight="15" x14ac:dyDescent="0.25"/>
  <cols>
    <col min="1" max="1" width="1.7109375" customWidth="1"/>
    <col min="2" max="2" width="2.7109375" customWidth="1"/>
    <col min="3" max="3" width="20.7109375" customWidth="1"/>
    <col min="4" max="6" width="12.7109375" customWidth="1"/>
    <col min="7" max="8" width="2.7109375" customWidth="1"/>
    <col min="9" max="9" width="33.7109375" customWidth="1"/>
    <col min="10" max="10" width="12.7109375" customWidth="1"/>
    <col min="11" max="11" width="15.7109375" customWidth="1"/>
    <col min="12" max="12" width="3.7109375" customWidth="1"/>
    <col min="13" max="13" width="2.7109375" customWidth="1"/>
    <col min="14" max="14" width="30.7109375" customWidth="1"/>
    <col min="15" max="15" width="13.7109375" customWidth="1"/>
    <col min="16" max="16" width="13.28515625" bestFit="1" customWidth="1"/>
  </cols>
  <sheetData>
    <row r="2" spans="2:17" x14ac:dyDescent="0.25">
      <c r="B2" s="195" t="s">
        <v>0</v>
      </c>
      <c r="C2" s="196"/>
      <c r="D2" s="196"/>
      <c r="E2" s="196"/>
      <c r="F2" s="196"/>
      <c r="G2" s="196"/>
      <c r="H2" s="196"/>
      <c r="I2" s="196"/>
      <c r="J2" s="196"/>
      <c r="K2" s="197"/>
      <c r="M2" s="195" t="s">
        <v>0</v>
      </c>
      <c r="N2" s="196"/>
      <c r="O2" s="196"/>
      <c r="P2" s="197"/>
      <c r="Q2" s="27"/>
    </row>
    <row r="3" spans="2:17" x14ac:dyDescent="0.25">
      <c r="B3" s="198" t="s">
        <v>1</v>
      </c>
      <c r="C3" s="199"/>
      <c r="D3" s="199"/>
      <c r="E3" s="199"/>
      <c r="F3" s="199"/>
      <c r="G3" s="199"/>
      <c r="H3" s="199"/>
      <c r="I3" s="199"/>
      <c r="J3" s="199"/>
      <c r="K3" s="200"/>
      <c r="M3" s="198" t="s">
        <v>2</v>
      </c>
      <c r="N3" s="199"/>
      <c r="O3" s="199"/>
      <c r="P3" s="200"/>
      <c r="Q3" s="27"/>
    </row>
    <row r="4" spans="2:17" x14ac:dyDescent="0.25">
      <c r="B4" s="198" t="s">
        <v>3</v>
      </c>
      <c r="C4" s="199"/>
      <c r="D4" s="199"/>
      <c r="E4" s="199"/>
      <c r="F4" s="199"/>
      <c r="G4" s="199"/>
      <c r="H4" s="199"/>
      <c r="I4" s="199"/>
      <c r="J4" s="199"/>
      <c r="K4" s="200"/>
      <c r="M4" s="198" t="s">
        <v>4</v>
      </c>
      <c r="N4" s="199"/>
      <c r="O4" s="199"/>
      <c r="P4" s="199"/>
      <c r="Q4" s="87"/>
    </row>
    <row r="5" spans="2:17" x14ac:dyDescent="0.25">
      <c r="B5" s="37"/>
      <c r="C5" s="38"/>
      <c r="D5" s="38"/>
      <c r="E5" s="38"/>
      <c r="F5" s="38"/>
      <c r="G5" s="38"/>
      <c r="H5" s="38"/>
      <c r="I5" s="38"/>
      <c r="J5" s="38"/>
      <c r="K5" s="39"/>
      <c r="M5" s="37"/>
      <c r="N5" s="38"/>
      <c r="O5" s="38"/>
      <c r="P5" s="38"/>
      <c r="Q5" s="37"/>
    </row>
    <row r="6" spans="2:17" x14ac:dyDescent="0.25">
      <c r="B6" s="37"/>
      <c r="C6" s="38"/>
      <c r="D6" s="40">
        <v>2013</v>
      </c>
      <c r="E6" s="40">
        <v>2014</v>
      </c>
      <c r="F6" s="40"/>
      <c r="G6" s="40"/>
      <c r="H6" s="40"/>
      <c r="I6" s="40"/>
      <c r="J6" s="40">
        <f>D6</f>
        <v>2013</v>
      </c>
      <c r="K6" s="41">
        <f>E6</f>
        <v>2014</v>
      </c>
      <c r="M6" s="37"/>
      <c r="N6" s="38"/>
      <c r="O6" s="40">
        <v>2013</v>
      </c>
      <c r="P6" s="40">
        <v>2014</v>
      </c>
      <c r="Q6" s="37"/>
    </row>
    <row r="7" spans="2:17" x14ac:dyDescent="0.25">
      <c r="B7" s="37" t="s">
        <v>5</v>
      </c>
      <c r="C7" s="38"/>
      <c r="D7" s="38"/>
      <c r="E7" s="38"/>
      <c r="F7" s="38"/>
      <c r="G7" s="38"/>
      <c r="H7" s="38" t="s">
        <v>6</v>
      </c>
      <c r="I7" s="38"/>
      <c r="J7" s="38"/>
      <c r="K7" s="39"/>
      <c r="M7" s="37" t="s">
        <v>7</v>
      </c>
      <c r="N7" s="38"/>
      <c r="O7" s="38"/>
      <c r="P7" s="38"/>
      <c r="Q7" s="37"/>
    </row>
    <row r="8" spans="2:17" x14ac:dyDescent="0.25">
      <c r="B8" s="37"/>
      <c r="C8" s="42" t="s">
        <v>8</v>
      </c>
      <c r="D8" s="43">
        <v>9.7799999999999994</v>
      </c>
      <c r="E8" s="43">
        <v>7.9329999999999998</v>
      </c>
      <c r="F8" s="43"/>
      <c r="G8" s="42"/>
      <c r="H8" s="42"/>
      <c r="I8" s="42" t="s">
        <v>9</v>
      </c>
      <c r="J8" s="43">
        <v>13.36</v>
      </c>
      <c r="K8" s="44">
        <v>6.6405000000000003</v>
      </c>
      <c r="M8" s="37"/>
      <c r="N8" s="38" t="s">
        <v>10</v>
      </c>
      <c r="O8" s="45">
        <v>234.98</v>
      </c>
      <c r="P8" s="52">
        <v>252.78</v>
      </c>
      <c r="Q8" s="37"/>
    </row>
    <row r="9" spans="2:17" x14ac:dyDescent="0.25">
      <c r="B9" s="37"/>
      <c r="C9" s="42" t="s">
        <v>11</v>
      </c>
      <c r="D9" s="43">
        <v>37.47</v>
      </c>
      <c r="E9" s="43">
        <v>38.909999999999997</v>
      </c>
      <c r="F9" s="43"/>
      <c r="G9" s="42"/>
      <c r="H9" s="42"/>
      <c r="I9" s="42" t="s">
        <v>12</v>
      </c>
      <c r="J9" s="47">
        <v>21.15</v>
      </c>
      <c r="K9" s="48">
        <v>23.93</v>
      </c>
      <c r="M9" s="37"/>
      <c r="N9" t="s">
        <v>13</v>
      </c>
      <c r="O9" s="50">
        <v>0.55000000000000004</v>
      </c>
      <c r="P9" s="55">
        <v>0.86</v>
      </c>
      <c r="Q9" s="37"/>
    </row>
    <row r="10" spans="2:17" x14ac:dyDescent="0.25">
      <c r="B10" s="37"/>
      <c r="C10" s="42" t="s">
        <v>14</v>
      </c>
      <c r="D10" s="47">
        <v>47.7</v>
      </c>
      <c r="E10" s="47">
        <v>46.64</v>
      </c>
      <c r="F10" s="43"/>
      <c r="G10" s="42"/>
      <c r="H10" s="42"/>
      <c r="I10" s="42" t="s">
        <v>15</v>
      </c>
      <c r="J10" s="43">
        <f>SUM(J8:J9)</f>
        <v>34.51</v>
      </c>
      <c r="K10" s="44">
        <f>SUM(K8:K9)</f>
        <v>30.570499999999999</v>
      </c>
      <c r="M10" s="37"/>
      <c r="N10" s="38" t="s">
        <v>16</v>
      </c>
      <c r="O10" s="52">
        <f>SUM(O8:O9)</f>
        <v>235.53</v>
      </c>
      <c r="P10" s="52">
        <f>SUM(P8:P9)</f>
        <v>253.64000000000001</v>
      </c>
      <c r="Q10" s="37"/>
    </row>
    <row r="11" spans="2:17" x14ac:dyDescent="0.25">
      <c r="B11" s="37"/>
      <c r="C11" s="42" t="s">
        <v>17</v>
      </c>
      <c r="D11" s="43">
        <f>SUM(D8:D10)</f>
        <v>94.95</v>
      </c>
      <c r="E11" s="43">
        <f>SUM(E8:E10)</f>
        <v>93.483000000000004</v>
      </c>
      <c r="F11" s="43"/>
      <c r="G11" s="42"/>
      <c r="H11" s="42"/>
      <c r="I11" s="42"/>
      <c r="J11" s="43"/>
      <c r="K11" s="44"/>
      <c r="M11" s="37"/>
      <c r="Q11" s="37"/>
    </row>
    <row r="12" spans="2:17" x14ac:dyDescent="0.25">
      <c r="B12" s="37"/>
      <c r="C12" s="42"/>
      <c r="D12" s="43"/>
      <c r="E12" s="43"/>
      <c r="F12" s="43"/>
      <c r="G12" s="42"/>
      <c r="H12" s="42" t="s">
        <v>18</v>
      </c>
      <c r="I12" s="42"/>
      <c r="J12" s="43"/>
      <c r="K12" s="44"/>
      <c r="M12" s="37" t="s">
        <v>19</v>
      </c>
      <c r="N12" s="38"/>
      <c r="O12" s="45"/>
      <c r="P12" s="45"/>
      <c r="Q12" s="37"/>
    </row>
    <row r="13" spans="2:17" x14ac:dyDescent="0.25">
      <c r="B13" s="37" t="s">
        <v>20</v>
      </c>
      <c r="C13" s="42"/>
      <c r="D13" s="43"/>
      <c r="E13" s="43"/>
      <c r="F13" s="43"/>
      <c r="G13" s="42"/>
      <c r="H13" s="42"/>
      <c r="I13" s="53" t="s">
        <v>21</v>
      </c>
      <c r="J13" s="43">
        <v>0.32</v>
      </c>
      <c r="K13" s="44">
        <v>0.96</v>
      </c>
      <c r="M13" s="37"/>
      <c r="N13" s="136">
        <f>K13+G13-(L13-'Fin Stmt'!D38)-(M13+G13)</f>
        <v>61.400000000000006</v>
      </c>
      <c r="O13" s="45">
        <v>196.69</v>
      </c>
      <c r="P13" s="52">
        <v>211.46</v>
      </c>
      <c r="Q13" s="37"/>
    </row>
    <row r="14" spans="2:17" x14ac:dyDescent="0.25">
      <c r="B14" s="37"/>
      <c r="C14" s="42" t="s">
        <v>22</v>
      </c>
      <c r="D14" s="43">
        <v>28.13</v>
      </c>
      <c r="E14" s="43">
        <v>32.17</v>
      </c>
      <c r="F14" s="43"/>
      <c r="G14" s="42"/>
      <c r="H14" s="42"/>
      <c r="I14" s="42" t="s">
        <v>23</v>
      </c>
      <c r="J14" s="47">
        <v>26.33</v>
      </c>
      <c r="K14" s="48">
        <v>30.584</v>
      </c>
      <c r="M14" s="37"/>
      <c r="N14" s="38" t="s">
        <v>24</v>
      </c>
      <c r="O14" s="45">
        <v>23.5</v>
      </c>
      <c r="P14" s="52">
        <v>29.64</v>
      </c>
      <c r="Q14" s="37"/>
    </row>
    <row r="15" spans="2:17" x14ac:dyDescent="0.25">
      <c r="B15" s="37"/>
      <c r="C15" s="42" t="s">
        <v>13</v>
      </c>
      <c r="D15" s="42">
        <v>14.76</v>
      </c>
      <c r="E15" s="42">
        <v>14.76</v>
      </c>
      <c r="F15" s="43"/>
      <c r="G15" s="42"/>
      <c r="H15" s="42"/>
      <c r="I15" s="42" t="s">
        <v>15</v>
      </c>
      <c r="J15" s="43">
        <f>SUM(J13:J14)</f>
        <v>26.65</v>
      </c>
      <c r="K15" s="44">
        <f>SUM(K13:K14)</f>
        <v>31.544</v>
      </c>
      <c r="M15" s="37"/>
      <c r="N15" s="38" t="s">
        <v>25</v>
      </c>
      <c r="O15" s="55">
        <v>3.64</v>
      </c>
      <c r="P15" s="84">
        <v>3.89</v>
      </c>
      <c r="Q15" s="37"/>
    </row>
    <row r="16" spans="2:17" x14ac:dyDescent="0.25">
      <c r="B16" s="37"/>
      <c r="C16" s="42"/>
      <c r="D16" s="47"/>
      <c r="E16" s="47"/>
      <c r="F16" s="43"/>
      <c r="G16" s="42"/>
      <c r="H16" s="42"/>
      <c r="I16" s="42"/>
      <c r="J16" s="43"/>
      <c r="K16" s="44"/>
      <c r="M16" s="37"/>
      <c r="N16" s="38" t="s">
        <v>26</v>
      </c>
      <c r="O16" s="52">
        <f>SUM(O13:O15)</f>
        <v>223.82999999999998</v>
      </c>
      <c r="P16" s="52">
        <f>SUM(P13:P15)</f>
        <v>244.99</v>
      </c>
      <c r="Q16" s="37"/>
    </row>
    <row r="17" spans="2:17" x14ac:dyDescent="0.25">
      <c r="B17" s="37"/>
      <c r="C17" s="42" t="s">
        <v>15</v>
      </c>
      <c r="D17" s="43">
        <f>SUM(D14:D16)</f>
        <v>42.89</v>
      </c>
      <c r="E17" s="43">
        <f>SUM(E14:E16)</f>
        <v>46.93</v>
      </c>
      <c r="F17" s="43"/>
      <c r="G17" s="42"/>
      <c r="H17" s="42" t="s">
        <v>27</v>
      </c>
      <c r="I17" s="42"/>
      <c r="J17" s="43"/>
      <c r="K17" s="44"/>
      <c r="M17" s="37"/>
      <c r="Q17" s="37"/>
    </row>
    <row r="18" spans="2:17" x14ac:dyDescent="0.25">
      <c r="B18" s="37"/>
      <c r="C18" s="42"/>
      <c r="D18" s="43"/>
      <c r="E18" s="43"/>
      <c r="F18" s="43"/>
      <c r="G18" s="42"/>
      <c r="H18" s="42"/>
      <c r="I18" s="42" t="s">
        <v>28</v>
      </c>
      <c r="J18" s="43">
        <v>5.44</v>
      </c>
      <c r="K18" s="44">
        <v>5.57</v>
      </c>
      <c r="M18" s="37" t="s">
        <v>29</v>
      </c>
      <c r="N18" s="38"/>
      <c r="O18" s="45">
        <f>O10-O16</f>
        <v>11.700000000000017</v>
      </c>
      <c r="P18" s="45">
        <f>P10-P16</f>
        <v>8.6500000000000057</v>
      </c>
      <c r="Q18" s="37"/>
    </row>
    <row r="19" spans="2:17" x14ac:dyDescent="0.25">
      <c r="B19" s="37"/>
      <c r="C19" s="56"/>
      <c r="D19" s="56"/>
      <c r="E19" s="56"/>
      <c r="F19" s="56"/>
      <c r="G19" s="42"/>
      <c r="H19" s="42"/>
      <c r="I19" s="42" t="s">
        <v>30</v>
      </c>
      <c r="J19" s="43">
        <v>0.08</v>
      </c>
      <c r="K19" s="44">
        <v>0.09</v>
      </c>
      <c r="M19" s="37"/>
      <c r="N19" s="38"/>
      <c r="O19" s="45"/>
      <c r="P19" s="85"/>
      <c r="Q19" s="37"/>
    </row>
    <row r="20" spans="2:17" x14ac:dyDescent="0.25">
      <c r="B20" s="37"/>
      <c r="F20" s="42"/>
      <c r="G20" s="42"/>
      <c r="H20" s="42"/>
      <c r="I20" s="42" t="s">
        <v>31</v>
      </c>
      <c r="J20" s="47">
        <v>71.16</v>
      </c>
      <c r="K20" s="48">
        <f>J20+P33</f>
        <v>72.638800000000003</v>
      </c>
      <c r="M20" s="37" t="s">
        <v>32</v>
      </c>
      <c r="O20" s="49"/>
      <c r="P20" s="52"/>
      <c r="Q20" s="37"/>
    </row>
    <row r="21" spans="2:17" x14ac:dyDescent="0.25">
      <c r="B21" s="37"/>
      <c r="C21" s="53"/>
      <c r="D21" s="56"/>
      <c r="E21" s="56"/>
      <c r="F21" s="56"/>
      <c r="G21" s="42"/>
      <c r="H21" s="42"/>
      <c r="I21" s="42" t="s">
        <v>15</v>
      </c>
      <c r="J21" s="43">
        <f>SUM(J18:J20)</f>
        <v>76.679999999999993</v>
      </c>
      <c r="K21" s="44">
        <f>SUM(K18:K20)</f>
        <v>78.2988</v>
      </c>
      <c r="M21" s="37"/>
      <c r="N21" s="54" t="s">
        <v>33</v>
      </c>
      <c r="O21" s="55">
        <v>3.72</v>
      </c>
      <c r="P21" s="84">
        <v>4.3600000000000003</v>
      </c>
      <c r="Q21" s="37"/>
    </row>
    <row r="22" spans="2:17" x14ac:dyDescent="0.25">
      <c r="B22" s="37"/>
      <c r="C22" s="56"/>
      <c r="D22" s="56"/>
      <c r="E22" s="56"/>
      <c r="F22" s="56"/>
      <c r="G22" s="42"/>
      <c r="H22" s="42"/>
      <c r="I22" s="42"/>
      <c r="J22" s="43"/>
      <c r="K22" s="44"/>
      <c r="M22" s="37"/>
      <c r="N22" s="54" t="s">
        <v>34</v>
      </c>
      <c r="O22" s="45">
        <f>SUM(O20:O21)</f>
        <v>3.72</v>
      </c>
      <c r="P22" s="86">
        <f>SUM(P20:P21)</f>
        <v>4.3600000000000003</v>
      </c>
      <c r="Q22" s="37"/>
    </row>
    <row r="23" spans="2:17" x14ac:dyDescent="0.25">
      <c r="B23" s="57" t="s">
        <v>35</v>
      </c>
      <c r="C23" s="58"/>
      <c r="D23" s="47">
        <f>D11+D17</f>
        <v>137.84</v>
      </c>
      <c r="E23" s="47">
        <f>E11+E17</f>
        <v>140.41300000000001</v>
      </c>
      <c r="F23" s="47"/>
      <c r="G23" s="58"/>
      <c r="H23" s="58" t="s">
        <v>36</v>
      </c>
      <c r="I23" s="58"/>
      <c r="J23" s="47">
        <f>J10+J15+J21</f>
        <v>137.83999999999997</v>
      </c>
      <c r="K23" s="48">
        <f>K10+K15+K21</f>
        <v>140.41329999999999</v>
      </c>
      <c r="M23" s="37"/>
      <c r="O23" s="32"/>
      <c r="P23" s="45"/>
      <c r="Q23" s="37"/>
    </row>
    <row r="24" spans="2:17" x14ac:dyDescent="0.25">
      <c r="B24" s="38"/>
      <c r="C24" s="42"/>
      <c r="D24" s="42"/>
      <c r="E24" s="42"/>
      <c r="F24" s="42"/>
      <c r="G24" s="42"/>
      <c r="H24" s="42"/>
      <c r="I24" s="42"/>
      <c r="J24" s="42"/>
      <c r="K24" s="42"/>
      <c r="M24" s="37"/>
      <c r="N24" s="38" t="s">
        <v>37</v>
      </c>
      <c r="O24" s="52">
        <f>O18-O22</f>
        <v>7.9800000000000164</v>
      </c>
      <c r="P24" s="52">
        <f>P18-P22</f>
        <v>4.2900000000000054</v>
      </c>
      <c r="Q24" s="37"/>
    </row>
    <row r="25" spans="2:17" x14ac:dyDescent="0.25">
      <c r="B25" s="38"/>
      <c r="C25" s="42"/>
      <c r="D25" s="42"/>
      <c r="E25" s="42"/>
      <c r="F25" s="42"/>
      <c r="G25" s="42"/>
      <c r="H25" s="42"/>
      <c r="I25" s="42"/>
      <c r="J25" s="42"/>
      <c r="K25" s="42"/>
      <c r="M25" s="37"/>
      <c r="N25" s="38" t="s">
        <v>38</v>
      </c>
      <c r="O25" s="55">
        <v>2.5535999999999999</v>
      </c>
      <c r="P25" s="84">
        <v>1.3728</v>
      </c>
      <c r="Q25" s="37"/>
    </row>
    <row r="26" spans="2:17" ht="15.75" thickBot="1" x14ac:dyDescent="0.3">
      <c r="B26" s="190" t="s">
        <v>39</v>
      </c>
      <c r="C26" s="191"/>
      <c r="D26" s="191"/>
      <c r="E26" s="191"/>
      <c r="F26" s="191"/>
      <c r="G26" s="191"/>
      <c r="H26" s="191"/>
      <c r="I26" s="191"/>
      <c r="J26" s="191"/>
      <c r="K26" s="192"/>
      <c r="M26" s="37"/>
      <c r="N26" s="38" t="s">
        <v>40</v>
      </c>
      <c r="O26" s="62">
        <f>O24-O25</f>
        <v>5.426400000000017</v>
      </c>
      <c r="P26" s="62">
        <f>P24-P25</f>
        <v>2.9172000000000056</v>
      </c>
      <c r="Q26" s="37"/>
    </row>
    <row r="27" spans="2:17" ht="15.75" thickTop="1" x14ac:dyDescent="0.25">
      <c r="B27" s="59" t="s">
        <v>41</v>
      </c>
      <c r="C27" s="38"/>
      <c r="D27" s="42"/>
      <c r="E27" s="60">
        <v>2013</v>
      </c>
      <c r="F27" s="60">
        <v>2014</v>
      </c>
      <c r="G27" s="42"/>
      <c r="H27" s="42" t="s">
        <v>42</v>
      </c>
      <c r="I27" s="42"/>
      <c r="J27" s="60">
        <v>2013</v>
      </c>
      <c r="K27" s="61">
        <v>2014</v>
      </c>
      <c r="M27" s="37"/>
      <c r="Q27" s="37"/>
    </row>
    <row r="28" spans="2:17" x14ac:dyDescent="0.25">
      <c r="B28" s="37"/>
      <c r="C28" s="193" t="s">
        <v>43</v>
      </c>
      <c r="D28" s="193"/>
      <c r="E28" s="42">
        <v>0.04</v>
      </c>
      <c r="F28" s="42">
        <v>0.05</v>
      </c>
      <c r="G28" s="42"/>
      <c r="H28" s="42"/>
      <c r="I28" s="42" t="s">
        <v>43</v>
      </c>
      <c r="J28" s="43">
        <f>J18</f>
        <v>5.44</v>
      </c>
      <c r="K28" s="44">
        <f>K18</f>
        <v>5.57</v>
      </c>
      <c r="M28" s="37"/>
      <c r="Q28" s="37"/>
    </row>
    <row r="29" spans="2:17" x14ac:dyDescent="0.25">
      <c r="B29" s="37"/>
      <c r="C29" s="193" t="s">
        <v>44</v>
      </c>
      <c r="D29" s="193"/>
      <c r="E29" s="42">
        <v>2.5</v>
      </c>
      <c r="F29" s="42">
        <v>2.5</v>
      </c>
      <c r="G29" s="42"/>
      <c r="H29" s="42"/>
      <c r="I29" s="42" t="s">
        <v>44</v>
      </c>
      <c r="J29" s="43">
        <v>12</v>
      </c>
      <c r="K29" s="44">
        <v>11.25</v>
      </c>
      <c r="M29" s="37"/>
      <c r="N29" s="38"/>
      <c r="O29" s="45"/>
      <c r="P29" s="52"/>
      <c r="Q29" s="37"/>
    </row>
    <row r="30" spans="2:17" x14ac:dyDescent="0.25">
      <c r="B30" s="37"/>
      <c r="C30" s="193" t="s">
        <v>45</v>
      </c>
      <c r="D30" s="193"/>
      <c r="E30" s="42">
        <f>E28*E29</f>
        <v>0.1</v>
      </c>
      <c r="F30" s="42">
        <f>F28*F29</f>
        <v>0.125</v>
      </c>
      <c r="G30" s="42"/>
      <c r="H30" s="42"/>
      <c r="I30" s="42" t="s">
        <v>46</v>
      </c>
      <c r="J30" s="43">
        <f>J29/J31</f>
        <v>12.074578277596883</v>
      </c>
      <c r="K30" s="44">
        <f>K29/K31</f>
        <v>21.666032777816152</v>
      </c>
      <c r="M30" s="37" t="s">
        <v>47</v>
      </c>
      <c r="N30" s="38"/>
      <c r="O30" s="45"/>
      <c r="P30" s="46"/>
    </row>
    <row r="31" spans="2:17" x14ac:dyDescent="0.25">
      <c r="B31" s="37"/>
      <c r="C31" s="194"/>
      <c r="D31" s="194"/>
      <c r="E31" s="42"/>
      <c r="F31" s="42"/>
      <c r="G31" s="42"/>
      <c r="H31" s="42"/>
      <c r="I31" s="53" t="s">
        <v>48</v>
      </c>
      <c r="J31" s="42">
        <f>(O26-O32)/J28</f>
        <v>0.99382352941176788</v>
      </c>
      <c r="K31" s="63">
        <f>(P26-P32)/K28</f>
        <v>0.519245960502694</v>
      </c>
      <c r="M31" s="37"/>
      <c r="N31" s="38" t="s">
        <v>49</v>
      </c>
      <c r="O31" s="45">
        <v>1.36</v>
      </c>
      <c r="P31" s="46">
        <v>1.4134</v>
      </c>
    </row>
    <row r="32" spans="2:17" ht="15" customHeight="1" x14ac:dyDescent="0.25">
      <c r="B32" s="59"/>
      <c r="C32" s="42"/>
      <c r="D32" s="42"/>
      <c r="E32" s="42"/>
      <c r="F32" s="42"/>
      <c r="G32" s="42"/>
      <c r="H32" s="42"/>
      <c r="I32" s="42" t="s">
        <v>45</v>
      </c>
      <c r="J32" s="43">
        <f>J28*J29</f>
        <v>65.28</v>
      </c>
      <c r="K32" s="44">
        <f>K28*K29</f>
        <v>62.662500000000001</v>
      </c>
      <c r="M32" s="37"/>
      <c r="N32" s="54" t="s">
        <v>50</v>
      </c>
      <c r="O32" s="45">
        <v>0.02</v>
      </c>
      <c r="P32" s="46">
        <v>2.5000000000000001E-2</v>
      </c>
    </row>
    <row r="33" spans="2:16" x14ac:dyDescent="0.25">
      <c r="B33" s="57"/>
      <c r="C33" s="58"/>
      <c r="D33" s="58"/>
      <c r="E33" s="58"/>
      <c r="F33" s="58"/>
      <c r="G33" s="58"/>
      <c r="H33" s="58"/>
      <c r="I33" s="58"/>
      <c r="J33" s="58"/>
      <c r="K33" s="64"/>
      <c r="M33" s="57"/>
      <c r="N33" s="65" t="s">
        <v>51</v>
      </c>
      <c r="O33" s="55">
        <f>O26-O31-O32</f>
        <v>4.0464000000000171</v>
      </c>
      <c r="P33" s="51">
        <f>P26-P31-P32</f>
        <v>1.4788000000000057</v>
      </c>
    </row>
    <row r="35" spans="2:16" x14ac:dyDescent="0.25">
      <c r="D35" s="26">
        <f>D6</f>
        <v>2013</v>
      </c>
      <c r="E35" s="26">
        <f>E6</f>
        <v>2014</v>
      </c>
      <c r="F35" s="26"/>
      <c r="J35" s="26">
        <f>D6</f>
        <v>2013</v>
      </c>
      <c r="K35" s="26">
        <f>E6</f>
        <v>2014</v>
      </c>
      <c r="P35" s="56"/>
    </row>
    <row r="36" spans="2:16" x14ac:dyDescent="0.25">
      <c r="C36" t="s">
        <v>52</v>
      </c>
      <c r="D36" s="66">
        <f>O10-O16</f>
        <v>11.700000000000017</v>
      </c>
      <c r="E36" s="66">
        <f>P10-P16</f>
        <v>8.6500000000000057</v>
      </c>
      <c r="F36" s="67"/>
      <c r="I36" t="s">
        <v>53</v>
      </c>
      <c r="J36" s="78">
        <f>D36*(1-O39)</f>
        <v>7.7044500000000111</v>
      </c>
      <c r="K36" s="78">
        <f>E36*(1-P39)</f>
        <v>5.7090000000000032</v>
      </c>
      <c r="P36" s="68"/>
    </row>
    <row r="37" spans="2:16" x14ac:dyDescent="0.25">
      <c r="C37" t="s">
        <v>54</v>
      </c>
      <c r="D37" s="66"/>
      <c r="E37" s="66">
        <f>E36+P15</f>
        <v>12.540000000000006</v>
      </c>
      <c r="F37" s="67"/>
      <c r="I37" t="s">
        <v>55</v>
      </c>
      <c r="J37" s="56">
        <f>J15+J21</f>
        <v>103.32999999999998</v>
      </c>
      <c r="K37" s="56">
        <f>K15+K21</f>
        <v>109.8428</v>
      </c>
      <c r="N37" s="189" t="s">
        <v>56</v>
      </c>
      <c r="O37" s="189"/>
      <c r="P37" s="189"/>
    </row>
    <row r="38" spans="2:16" x14ac:dyDescent="0.25">
      <c r="C38" t="s">
        <v>57</v>
      </c>
      <c r="D38" s="66">
        <f>D11-J10</f>
        <v>60.440000000000005</v>
      </c>
      <c r="E38" s="66">
        <f>E11-K10</f>
        <v>62.912500000000009</v>
      </c>
      <c r="F38" s="67"/>
      <c r="I38" t="s">
        <v>58</v>
      </c>
      <c r="J38" s="56">
        <f>D11+(D17-J10)</f>
        <v>103.33000000000001</v>
      </c>
      <c r="K38" s="56">
        <f>E11+(E17-K10)</f>
        <v>109.8425</v>
      </c>
      <c r="N38" t="s">
        <v>59</v>
      </c>
      <c r="P38" s="70">
        <f>P25/P24</f>
        <v>0.31999999999999962</v>
      </c>
    </row>
    <row r="39" spans="2:16" x14ac:dyDescent="0.25">
      <c r="C39" t="s">
        <v>60</v>
      </c>
      <c r="D39" s="66">
        <f>D36+O15-O25</f>
        <v>12.786400000000018</v>
      </c>
      <c r="E39" s="66">
        <f>E36+P15-P25</f>
        <v>11.167200000000006</v>
      </c>
      <c r="F39" s="67"/>
      <c r="I39" t="s">
        <v>61</v>
      </c>
      <c r="J39" s="70">
        <f>(J36/J37)</f>
        <v>7.4561598761250486E-2</v>
      </c>
      <c r="K39" s="70">
        <f>(K36/K37)</f>
        <v>5.1974275965288606E-2</v>
      </c>
      <c r="N39" t="s">
        <v>62</v>
      </c>
      <c r="O39" s="70">
        <v>0.34150000000000003</v>
      </c>
      <c r="P39" s="70">
        <v>0.34</v>
      </c>
    </row>
    <row r="40" spans="2:16" x14ac:dyDescent="0.25">
      <c r="C40" t="s">
        <v>63</v>
      </c>
      <c r="D40" s="66"/>
      <c r="E40" s="66">
        <f>E17-D17+P15</f>
        <v>7.93</v>
      </c>
      <c r="F40" s="67"/>
      <c r="I40" t="s">
        <v>64</v>
      </c>
      <c r="K40" s="56">
        <f>K38-J38+P15</f>
        <v>10.402499999999989</v>
      </c>
      <c r="N40" t="s">
        <v>65</v>
      </c>
      <c r="O40" s="70">
        <v>0.34</v>
      </c>
      <c r="P40" s="70">
        <v>0.34</v>
      </c>
    </row>
    <row r="41" spans="2:16" x14ac:dyDescent="0.25">
      <c r="C41" s="71" t="s">
        <v>66</v>
      </c>
      <c r="D41" s="66"/>
      <c r="E41" s="66">
        <f>E38-D38</f>
        <v>2.4725000000000037</v>
      </c>
      <c r="F41" s="67"/>
      <c r="I41" s="35" t="s">
        <v>67</v>
      </c>
      <c r="K41" s="3">
        <f>K36+P15-E41-E40</f>
        <v>-0.80349999999999966</v>
      </c>
    </row>
    <row r="42" spans="2:16" x14ac:dyDescent="0.25">
      <c r="C42" t="s">
        <v>68</v>
      </c>
      <c r="D42" s="66"/>
      <c r="E42" s="72">
        <f>E39-E40-E41</f>
        <v>0.76470000000000304</v>
      </c>
      <c r="F42" s="67"/>
      <c r="I42" t="s">
        <v>69</v>
      </c>
      <c r="K42" s="3">
        <f>K36+P15-K40</f>
        <v>-0.80349999999998545</v>
      </c>
    </row>
    <row r="43" spans="2:16" x14ac:dyDescent="0.25">
      <c r="C43" t="s">
        <v>70</v>
      </c>
      <c r="D43" s="66"/>
      <c r="E43" s="72">
        <f>E44+E45</f>
        <v>0.76439999999999841</v>
      </c>
      <c r="F43" s="67"/>
      <c r="N43" t="s">
        <v>71</v>
      </c>
      <c r="O43" s="66"/>
      <c r="P43" s="66">
        <f>K32+F30+J64-E8</f>
        <v>110.37689592928734</v>
      </c>
    </row>
    <row r="44" spans="2:16" x14ac:dyDescent="0.25">
      <c r="C44" t="s">
        <v>72</v>
      </c>
      <c r="D44" s="66"/>
      <c r="E44" s="66">
        <f>P22-(K15-J15)</f>
        <v>-0.53400000000000158</v>
      </c>
      <c r="F44" s="67"/>
      <c r="I44" t="s">
        <v>73</v>
      </c>
      <c r="J44" s="69"/>
      <c r="K44" s="70">
        <f>K53</f>
        <v>0.06</v>
      </c>
      <c r="N44" t="s">
        <v>74</v>
      </c>
      <c r="P44" s="80">
        <f>P43/E36</f>
        <v>12.76033478951298</v>
      </c>
    </row>
    <row r="45" spans="2:16" x14ac:dyDescent="0.25">
      <c r="C45" t="s">
        <v>75</v>
      </c>
      <c r="D45" s="66"/>
      <c r="E45" s="66">
        <f>(P31-(K18-J18))+(P32-(K19-J19))</f>
        <v>1.2984</v>
      </c>
      <c r="F45" s="67"/>
      <c r="I45" t="s">
        <v>76</v>
      </c>
      <c r="J45" s="74"/>
      <c r="K45" s="115">
        <f>P32/F30</f>
        <v>0.2</v>
      </c>
      <c r="P45" s="73"/>
    </row>
    <row r="46" spans="2:16" ht="18" x14ac:dyDescent="0.35">
      <c r="C46" t="s">
        <v>77</v>
      </c>
      <c r="D46" s="70">
        <f>(O26/D23)</f>
        <v>3.9367382472431926E-2</v>
      </c>
      <c r="E46" s="70">
        <f>(P26/E23)</f>
        <v>2.0775854087584519E-2</v>
      </c>
      <c r="F46" s="67"/>
      <c r="I46" t="s">
        <v>78</v>
      </c>
      <c r="K46" s="70">
        <f>K48+(K47-K48)*K49</f>
        <v>6.88E-2</v>
      </c>
      <c r="P46" s="75"/>
    </row>
    <row r="47" spans="2:16" x14ac:dyDescent="0.25">
      <c r="C47" t="s">
        <v>79</v>
      </c>
      <c r="D47" s="70">
        <f>O26/J21</f>
        <v>7.0766823161189582E-2</v>
      </c>
      <c r="E47" s="70">
        <f>P26/K21</f>
        <v>3.7257275973578211E-2</v>
      </c>
      <c r="F47" s="70"/>
      <c r="I47" t="s">
        <v>80</v>
      </c>
      <c r="J47" s="70">
        <v>0.18</v>
      </c>
      <c r="K47" s="70">
        <v>7.0000000000000007E-2</v>
      </c>
      <c r="P47" s="73"/>
    </row>
    <row r="48" spans="2:16" x14ac:dyDescent="0.25">
      <c r="C48" t="s">
        <v>81</v>
      </c>
      <c r="D48" s="70">
        <f>O26/O10</f>
        <v>2.3039103298942883E-2</v>
      </c>
      <c r="E48" s="70">
        <f>P26/P10</f>
        <v>1.1501340482573747E-2</v>
      </c>
      <c r="F48" s="70"/>
      <c r="I48" t="s">
        <v>82</v>
      </c>
      <c r="J48" s="70">
        <v>0.04</v>
      </c>
      <c r="K48" s="70">
        <v>0.04</v>
      </c>
      <c r="P48" s="73"/>
    </row>
    <row r="49" spans="3:17" x14ac:dyDescent="0.25">
      <c r="C49" t="s">
        <v>83</v>
      </c>
      <c r="D49" s="36">
        <f>O10/D23</f>
        <v>1.7087202553685432</v>
      </c>
      <c r="E49" s="36">
        <f>P10/E23</f>
        <v>1.8063854486407953</v>
      </c>
      <c r="F49" s="70"/>
      <c r="I49" t="s">
        <v>84</v>
      </c>
      <c r="J49">
        <v>1.3</v>
      </c>
      <c r="K49" s="36">
        <v>0.96</v>
      </c>
      <c r="P49" s="73"/>
    </row>
    <row r="50" spans="3:17" x14ac:dyDescent="0.25">
      <c r="C50" t="s">
        <v>85</v>
      </c>
      <c r="D50" s="66">
        <f>D23/J21</f>
        <v>1.7976004173187274</v>
      </c>
      <c r="E50" s="66">
        <f>E23/K21</f>
        <v>1.7932969598512367</v>
      </c>
      <c r="F50" s="36"/>
      <c r="P50" s="3"/>
    </row>
    <row r="51" spans="3:17" x14ac:dyDescent="0.25">
      <c r="C51" t="s">
        <v>86</v>
      </c>
      <c r="D51" s="70">
        <f>D48*D49*D50</f>
        <v>7.0766823161189582E-2</v>
      </c>
      <c r="E51" s="70">
        <f>E48*E49*E50</f>
        <v>3.7257275973578211E-2</v>
      </c>
      <c r="F51" s="66"/>
      <c r="I51" s="189" t="s">
        <v>87</v>
      </c>
      <c r="J51" s="189"/>
      <c r="K51" s="189"/>
      <c r="P51" s="66"/>
    </row>
    <row r="52" spans="3:17" x14ac:dyDescent="0.25">
      <c r="C52" t="s">
        <v>88</v>
      </c>
      <c r="D52" s="70">
        <f>O26/J21</f>
        <v>7.0766823161189582E-2</v>
      </c>
      <c r="E52" s="70">
        <f>P26/K21</f>
        <v>3.7257275973578211E-2</v>
      </c>
      <c r="F52" s="70"/>
      <c r="I52" t="s">
        <v>89</v>
      </c>
      <c r="K52" s="70">
        <v>0.14000000000000001</v>
      </c>
      <c r="P52" s="3"/>
    </row>
    <row r="53" spans="3:17" x14ac:dyDescent="0.25">
      <c r="C53" t="s">
        <v>90</v>
      </c>
      <c r="D53" s="70">
        <f>O31/O26</f>
        <v>0.25062656641603931</v>
      </c>
      <c r="E53" s="70">
        <f>P31/P26</f>
        <v>0.48450569038804242</v>
      </c>
      <c r="F53" s="70"/>
      <c r="I53" t="s">
        <v>91</v>
      </c>
      <c r="K53" s="70">
        <v>0.06</v>
      </c>
    </row>
    <row r="54" spans="3:17" x14ac:dyDescent="0.25">
      <c r="C54" t="s">
        <v>92</v>
      </c>
      <c r="D54" s="70">
        <f>O33/O26</f>
        <v>0.74568774878372479</v>
      </c>
      <c r="E54" s="70">
        <f>P33/P26</f>
        <v>0.50692444810091963</v>
      </c>
      <c r="F54" s="76"/>
      <c r="I54" s="35" t="s">
        <v>93</v>
      </c>
      <c r="K54" s="35">
        <v>2</v>
      </c>
    </row>
    <row r="55" spans="3:17" x14ac:dyDescent="0.25">
      <c r="C55" t="s">
        <v>94</v>
      </c>
      <c r="D55" s="70">
        <f>(D46*D54)/(1-(D46*D54))</f>
        <v>3.0243599095921007E-2</v>
      </c>
      <c r="E55" s="70">
        <f>(E46*E54)/(1-(E46*E54))</f>
        <v>1.0643887538129599E-2</v>
      </c>
      <c r="F55" s="3"/>
      <c r="I55" t="s">
        <v>95</v>
      </c>
      <c r="K55">
        <v>15</v>
      </c>
      <c r="Q55" s="77"/>
    </row>
    <row r="56" spans="3:17" x14ac:dyDescent="0.25">
      <c r="C56" t="s">
        <v>96</v>
      </c>
      <c r="D56" s="70">
        <f>(D47*D54)/(1-(D47*D54))</f>
        <v>5.5709754163362657E-2</v>
      </c>
      <c r="E56" s="70">
        <f>(E47*E54)/(1-(E47*E54))</f>
        <v>1.9250195261650688E-2</v>
      </c>
      <c r="F56" s="3"/>
      <c r="I56" t="s">
        <v>97</v>
      </c>
      <c r="K56">
        <f>K54*K55</f>
        <v>30</v>
      </c>
    </row>
    <row r="57" spans="3:17" x14ac:dyDescent="0.25">
      <c r="F57" s="3"/>
      <c r="I57" t="s">
        <v>98</v>
      </c>
      <c r="K57">
        <v>1000</v>
      </c>
    </row>
    <row r="58" spans="3:17" x14ac:dyDescent="0.25">
      <c r="I58" t="s">
        <v>99</v>
      </c>
      <c r="K58">
        <f>K57*K52/K54</f>
        <v>70</v>
      </c>
    </row>
    <row r="59" spans="3:17" x14ac:dyDescent="0.25">
      <c r="I59" t="s">
        <v>100</v>
      </c>
      <c r="K59" s="79">
        <f>-PV(K53/K54,K56,K58,K57)</f>
        <v>1784.0176539787908</v>
      </c>
    </row>
    <row r="60" spans="3:17" x14ac:dyDescent="0.25">
      <c r="I60" t="s">
        <v>101</v>
      </c>
      <c r="K60" s="67">
        <f>K14*1000000/1000</f>
        <v>30584</v>
      </c>
    </row>
    <row r="61" spans="3:17" x14ac:dyDescent="0.25">
      <c r="I61" t="s">
        <v>102</v>
      </c>
      <c r="K61" s="80">
        <f>K60*K59</f>
        <v>54562395.929287337</v>
      </c>
    </row>
    <row r="63" spans="3:17" x14ac:dyDescent="0.25">
      <c r="J63" s="81" t="s">
        <v>103</v>
      </c>
      <c r="K63" s="81" t="s">
        <v>104</v>
      </c>
    </row>
    <row r="64" spans="3:17" x14ac:dyDescent="0.25">
      <c r="I64" t="s">
        <v>105</v>
      </c>
      <c r="J64" s="56">
        <f>K13+(K61/1000000)</f>
        <v>55.522395929287335</v>
      </c>
      <c r="K64" s="70">
        <f>J64/J67</f>
        <v>0.46929629591148087</v>
      </c>
    </row>
    <row r="65" spans="9:11" x14ac:dyDescent="0.25">
      <c r="I65" t="s">
        <v>106</v>
      </c>
      <c r="J65" s="56">
        <f>K32</f>
        <v>62.662500000000001</v>
      </c>
      <c r="K65" s="70">
        <f>J65/J67</f>
        <v>0.52964715679787899</v>
      </c>
    </row>
    <row r="66" spans="9:11" x14ac:dyDescent="0.25">
      <c r="I66" t="s">
        <v>107</v>
      </c>
      <c r="J66" s="58">
        <f>F30</f>
        <v>0.125</v>
      </c>
      <c r="K66" s="70">
        <f>J66/J67</f>
        <v>1.0565472906400937E-3</v>
      </c>
    </row>
    <row r="67" spans="9:11" x14ac:dyDescent="0.25">
      <c r="I67" t="s">
        <v>15</v>
      </c>
      <c r="J67" s="56">
        <f>SUM(J64:J66)</f>
        <v>118.30989592928734</v>
      </c>
      <c r="K67" s="66">
        <f>SUM(K64:K66)</f>
        <v>1</v>
      </c>
    </row>
    <row r="69" spans="9:11" x14ac:dyDescent="0.25">
      <c r="I69" t="s">
        <v>108</v>
      </c>
      <c r="K69" s="70">
        <f>K65*K46+K66*K45+K64*K44*(1-P40)</f>
        <v>5.5235167163916743E-2</v>
      </c>
    </row>
    <row r="70" spans="9:11" x14ac:dyDescent="0.25">
      <c r="I70" t="s">
        <v>109</v>
      </c>
      <c r="K70" s="70">
        <v>0.03</v>
      </c>
    </row>
    <row r="72" spans="9:11" x14ac:dyDescent="0.25">
      <c r="I72" t="s">
        <v>110</v>
      </c>
      <c r="K72" s="70">
        <v>0.12</v>
      </c>
    </row>
  </sheetData>
  <mergeCells count="13">
    <mergeCell ref="B2:K2"/>
    <mergeCell ref="M2:P2"/>
    <mergeCell ref="B3:K3"/>
    <mergeCell ref="M3:P3"/>
    <mergeCell ref="B4:K4"/>
    <mergeCell ref="M4:P4"/>
    <mergeCell ref="I51:K51"/>
    <mergeCell ref="N37:P37"/>
    <mergeCell ref="B26:K26"/>
    <mergeCell ref="C28:D28"/>
    <mergeCell ref="C29:D29"/>
    <mergeCell ref="C30:D30"/>
    <mergeCell ref="C31:D31"/>
  </mergeCell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="80" zoomScaleNormal="80" workbookViewId="0">
      <selection activeCell="M21" sqref="M21"/>
    </sheetView>
  </sheetViews>
  <sheetFormatPr defaultRowHeight="15" x14ac:dyDescent="0.25"/>
  <cols>
    <col min="4" max="4" width="10.28515625" bestFit="1" customWidth="1"/>
    <col min="5" max="5" width="11.5703125" bestFit="1" customWidth="1"/>
    <col min="6" max="8" width="10.7109375" customWidth="1"/>
    <col min="9" max="9" width="12.7109375" customWidth="1"/>
    <col min="10" max="10" width="10.5703125" bestFit="1" customWidth="1"/>
    <col min="11" max="11" width="10.5703125" customWidth="1"/>
    <col min="14" max="17" width="9.5703125" bestFit="1" customWidth="1"/>
    <col min="18" max="18" width="3.7109375" customWidth="1"/>
    <col min="19" max="23" width="12.7109375" customWidth="1"/>
    <col min="24" max="24" width="10.5703125" customWidth="1"/>
    <col min="25" max="27" width="12.7109375" customWidth="1"/>
  </cols>
  <sheetData>
    <row r="1" spans="1:27" x14ac:dyDescent="0.25">
      <c r="A1" s="189" t="s">
        <v>111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</row>
    <row r="2" spans="1:27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</row>
    <row r="3" spans="1:27" x14ac:dyDescent="0.25">
      <c r="I3" s="26">
        <f>'Fin Stmt'!D6</f>
        <v>2013</v>
      </c>
      <c r="J3" s="26">
        <f>'Fin Stmt'!E6</f>
        <v>2014</v>
      </c>
    </row>
    <row r="4" spans="1:27" x14ac:dyDescent="0.25">
      <c r="A4" s="210" t="s">
        <v>112</v>
      </c>
      <c r="B4" s="202"/>
      <c r="C4" s="202"/>
      <c r="D4" s="70">
        <f>'Fin Stmt'!K70</f>
        <v>0.03</v>
      </c>
      <c r="F4" s="202" t="s">
        <v>113</v>
      </c>
      <c r="G4" s="202"/>
      <c r="H4" s="202"/>
      <c r="I4">
        <f>'Fin Stmt'!J15</f>
        <v>26.65</v>
      </c>
      <c r="J4">
        <f>'Fin Stmt'!K15</f>
        <v>31.544</v>
      </c>
      <c r="M4" s="138"/>
      <c r="N4" s="189" t="s">
        <v>114</v>
      </c>
      <c r="O4" s="189"/>
      <c r="P4" s="138"/>
      <c r="Q4" s="82"/>
      <c r="R4" s="82"/>
      <c r="U4" s="138"/>
      <c r="V4" s="138"/>
      <c r="W4" s="138"/>
    </row>
    <row r="5" spans="1:27" x14ac:dyDescent="0.25">
      <c r="A5" s="202" t="str">
        <f>'Fin Stmt'!N38</f>
        <v>Taxes Paid/Taxable Income</v>
      </c>
      <c r="B5" s="202"/>
      <c r="C5" s="202"/>
      <c r="D5" s="83">
        <f>'Fin Stmt'!P38</f>
        <v>0.31999999999999962</v>
      </c>
      <c r="M5" s="82"/>
      <c r="N5" s="6" t="s">
        <v>115</v>
      </c>
      <c r="O5" s="94">
        <v>0.06</v>
      </c>
      <c r="P5" s="82"/>
      <c r="Q5" s="82"/>
      <c r="R5" s="82"/>
      <c r="U5" s="12"/>
      <c r="V5" s="12"/>
      <c r="W5" s="12"/>
    </row>
    <row r="6" spans="1:27" ht="18" x14ac:dyDescent="0.35">
      <c r="A6" s="202" t="s">
        <v>62</v>
      </c>
      <c r="B6" s="202"/>
      <c r="C6" s="202"/>
      <c r="D6" s="70">
        <f>'Fin Stmt'!P39</f>
        <v>0.34</v>
      </c>
      <c r="G6" t="s">
        <v>116</v>
      </c>
      <c r="M6" s="138"/>
      <c r="N6" s="139" t="s">
        <v>117</v>
      </c>
      <c r="O6" s="94">
        <v>6.0000000000000001E-3</v>
      </c>
      <c r="P6" s="82"/>
      <c r="Q6" s="82"/>
      <c r="R6" s="82"/>
      <c r="U6" s="82"/>
      <c r="V6" s="82"/>
      <c r="W6" s="82"/>
    </row>
    <row r="7" spans="1:27" ht="18" x14ac:dyDescent="0.35">
      <c r="A7" s="202" t="s">
        <v>65</v>
      </c>
      <c r="B7" s="202"/>
      <c r="C7" s="202"/>
      <c r="D7" s="83">
        <f>'Fin Stmt'!P40</f>
        <v>0.34</v>
      </c>
      <c r="E7" s="5"/>
      <c r="F7" s="5"/>
      <c r="G7" s="139" t="s">
        <v>118</v>
      </c>
      <c r="H7" s="3">
        <f>D8</f>
        <v>5.5235167163916743E-2</v>
      </c>
      <c r="I7" s="139" t="s">
        <v>119</v>
      </c>
      <c r="J7" s="3">
        <f>H7</f>
        <v>5.5235167163916743E-2</v>
      </c>
      <c r="M7" s="82"/>
      <c r="N7" s="139" t="s">
        <v>120</v>
      </c>
      <c r="O7" s="94">
        <v>0.02</v>
      </c>
      <c r="P7" s="82"/>
      <c r="Q7" s="82"/>
      <c r="R7" s="82"/>
      <c r="U7" s="82"/>
      <c r="V7" s="82"/>
      <c r="W7" s="82"/>
    </row>
    <row r="8" spans="1:27" x14ac:dyDescent="0.25">
      <c r="A8" s="202" t="s">
        <v>121</v>
      </c>
      <c r="B8" s="202"/>
      <c r="C8" s="202"/>
      <c r="D8" s="6">
        <f>'Fin Stmt'!K69</f>
        <v>5.5235167163916743E-2</v>
      </c>
      <c r="G8" s="139"/>
      <c r="H8" s="3"/>
      <c r="M8" s="138"/>
      <c r="N8" s="96" t="s">
        <v>15</v>
      </c>
      <c r="O8" s="95">
        <f>SUM(O5:O7)</f>
        <v>8.6000000000000007E-2</v>
      </c>
      <c r="P8" s="138"/>
      <c r="Q8" s="138"/>
      <c r="R8" s="138"/>
      <c r="U8" s="138"/>
      <c r="V8" s="138"/>
      <c r="W8" s="138"/>
    </row>
    <row r="9" spans="1:27" x14ac:dyDescent="0.25">
      <c r="A9" s="139"/>
      <c r="B9" s="139"/>
      <c r="C9" s="139"/>
      <c r="M9" s="12"/>
      <c r="N9" s="12"/>
      <c r="P9" s="11"/>
      <c r="Q9" s="12"/>
      <c r="R9" s="12"/>
      <c r="S9" s="12"/>
      <c r="T9" s="12"/>
      <c r="U9" s="12"/>
      <c r="V9" s="12"/>
      <c r="W9" s="12"/>
    </row>
    <row r="10" spans="1:27" ht="30" customHeight="1" x14ac:dyDescent="0.25">
      <c r="A10" s="214" t="s">
        <v>122</v>
      </c>
      <c r="B10" s="214"/>
      <c r="C10" s="214"/>
      <c r="D10" s="3">
        <f>C15/J15</f>
        <v>0.28717481849011084</v>
      </c>
      <c r="F10" s="214" t="s">
        <v>123</v>
      </c>
      <c r="G10" s="214"/>
      <c r="H10" s="214"/>
      <c r="I10" s="3">
        <f>D15/J15</f>
        <v>2.3091244281584999</v>
      </c>
      <c r="J10" s="3"/>
    </row>
    <row r="11" spans="1:27" x14ac:dyDescent="0.25">
      <c r="B11" s="176"/>
      <c r="C11" s="176"/>
      <c r="D11" s="114"/>
      <c r="E11" s="114"/>
      <c r="F11" s="114"/>
      <c r="G11" s="114"/>
      <c r="H11" s="94"/>
      <c r="I11" s="114"/>
      <c r="J11" s="4"/>
      <c r="K11" s="4"/>
      <c r="L11" s="8"/>
      <c r="M11" s="8"/>
      <c r="N11" s="8"/>
      <c r="O11" s="8"/>
      <c r="P11" s="82"/>
      <c r="S11" s="177"/>
      <c r="T11" s="177"/>
      <c r="U11" s="177"/>
      <c r="V11" s="177"/>
      <c r="W11" s="177"/>
    </row>
    <row r="12" spans="1:27" ht="30" x14ac:dyDescent="0.25">
      <c r="B12" s="142" t="s">
        <v>124</v>
      </c>
      <c r="C12" s="142" t="s">
        <v>105</v>
      </c>
      <c r="D12" s="142" t="s">
        <v>125</v>
      </c>
      <c r="E12" s="142" t="s">
        <v>126</v>
      </c>
      <c r="F12" s="142" t="s">
        <v>127</v>
      </c>
      <c r="G12" s="142" t="s">
        <v>128</v>
      </c>
      <c r="H12" s="142" t="s">
        <v>52</v>
      </c>
      <c r="I12" s="142" t="s">
        <v>129</v>
      </c>
      <c r="J12" s="142" t="s">
        <v>130</v>
      </c>
      <c r="K12" s="142" t="s">
        <v>131</v>
      </c>
      <c r="L12" s="19" t="s">
        <v>57</v>
      </c>
      <c r="M12" s="7" t="s">
        <v>132</v>
      </c>
      <c r="N12" s="142" t="s">
        <v>133</v>
      </c>
      <c r="O12" s="142" t="s">
        <v>134</v>
      </c>
      <c r="P12" s="142" t="s">
        <v>135</v>
      </c>
      <c r="Q12" s="142"/>
      <c r="R12" s="142"/>
    </row>
    <row r="13" spans="1:27" x14ac:dyDescent="0.25">
      <c r="B13" s="202" t="s">
        <v>136</v>
      </c>
      <c r="C13" s="202"/>
      <c r="D13" s="114">
        <f>O8</f>
        <v>8.6000000000000007E-2</v>
      </c>
      <c r="E13" s="114">
        <f>E15/$D$15</f>
        <v>0.83370130894180727</v>
      </c>
      <c r="F13" s="114">
        <f>F15/$D$15</f>
        <v>0.11685853966251379</v>
      </c>
      <c r="G13" s="114">
        <f>G15/$D$15</f>
        <v>1.5336697681753666E-2</v>
      </c>
      <c r="H13" s="94"/>
      <c r="I13" s="114">
        <f>I15/$I$4</f>
        <v>0.16360225140712947</v>
      </c>
      <c r="J13" s="178"/>
      <c r="K13" s="178"/>
      <c r="L13" s="19"/>
      <c r="M13" s="7"/>
      <c r="N13" s="178"/>
      <c r="O13" s="178"/>
      <c r="P13" s="178"/>
      <c r="Q13" s="178"/>
      <c r="R13" s="178"/>
    </row>
    <row r="14" spans="1:27" x14ac:dyDescent="0.25"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9"/>
      <c r="M14" s="7"/>
      <c r="N14" s="178"/>
      <c r="O14" s="178"/>
      <c r="P14" s="178"/>
      <c r="Q14" s="178"/>
      <c r="R14" s="178"/>
    </row>
    <row r="15" spans="1:27" x14ac:dyDescent="0.25">
      <c r="B15" s="1">
        <f>'Fin Stmt'!E6</f>
        <v>2014</v>
      </c>
      <c r="C15" s="1">
        <v>31.544</v>
      </c>
      <c r="D15" s="9">
        <f>'Fin Stmt'!P10</f>
        <v>253.64000000000001</v>
      </c>
      <c r="E15" s="9">
        <f>'Fin Stmt'!P13</f>
        <v>211.46</v>
      </c>
      <c r="F15" s="9">
        <f>'Fin Stmt'!P14</f>
        <v>29.64</v>
      </c>
      <c r="G15" s="9">
        <f>'Fin Stmt'!P15</f>
        <v>3.89</v>
      </c>
      <c r="H15" s="17">
        <f>D15-E15-F15-G15</f>
        <v>8.6500000000000057</v>
      </c>
      <c r="I15" s="9">
        <f>'Fin Stmt'!P21</f>
        <v>4.3600000000000003</v>
      </c>
      <c r="J15" s="1">
        <f>'Fin Stmt'!K38</f>
        <v>109.8425</v>
      </c>
      <c r="K15" s="1">
        <f>(D15-E15-F15-G15)*(1-$D$6)</f>
        <v>5.7090000000000032</v>
      </c>
      <c r="L15" s="132">
        <f>'Fin Stmt'!E38</f>
        <v>62.912500000000009</v>
      </c>
      <c r="M15" s="9">
        <f>'Fin Stmt'!E17</f>
        <v>46.93</v>
      </c>
      <c r="N15" s="10">
        <f>K15+G15-(L15-'Fin Stmt'!D38)-(M15-'Fin Stmt'!D17+G15)</f>
        <v>-0.80349999999999966</v>
      </c>
      <c r="O15" s="10">
        <f>K15/J15</f>
        <v>5.1974417916562377E-2</v>
      </c>
      <c r="P15" s="12">
        <f>'Fin Stmt'!J38*(O15-$D$8)</f>
        <v>-0.33693321972912671</v>
      </c>
      <c r="T15" s="21"/>
      <c r="U15" s="21"/>
      <c r="V15" s="21"/>
      <c r="W15" s="21"/>
      <c r="X15" s="20"/>
      <c r="Y15" s="20"/>
    </row>
    <row r="16" spans="1:27" x14ac:dyDescent="0.25">
      <c r="A16">
        <v>1</v>
      </c>
      <c r="B16" s="1">
        <f>B15+1</f>
        <v>2015</v>
      </c>
      <c r="C16" s="9">
        <f>J16*$D$10</f>
        <v>34.256784000000003</v>
      </c>
      <c r="D16" s="9">
        <f>D15*(1+$D$13)</f>
        <v>275.45304000000004</v>
      </c>
      <c r="E16" s="9">
        <f t="shared" ref="E16:G21" si="0">E$13*$D16</f>
        <v>229.64556000000005</v>
      </c>
      <c r="F16" s="9">
        <f t="shared" si="0"/>
        <v>32.189040000000006</v>
      </c>
      <c r="G16" s="9">
        <f t="shared" si="0"/>
        <v>4.2245400000000002</v>
      </c>
      <c r="H16" s="17">
        <f>D16-E16-F16-G16</f>
        <v>9.3938999999999915</v>
      </c>
      <c r="I16" s="9">
        <f t="shared" ref="I16:I21" si="1">I$13*C15</f>
        <v>5.1606694183864921</v>
      </c>
      <c r="J16" s="9">
        <f>D16/$I$10</f>
        <v>119.288955</v>
      </c>
      <c r="K16" s="9">
        <f t="shared" ref="K16:K21" si="2">(D16-E16-F16-G16)*(1-$D$6)</f>
        <v>6.1999739999999939</v>
      </c>
      <c r="L16" s="9">
        <f t="shared" ref="L16:M20" si="3">L15*(1+$D$13)</f>
        <v>68.322975000000014</v>
      </c>
      <c r="M16" s="9">
        <f t="shared" si="3"/>
        <v>50.965980000000002</v>
      </c>
      <c r="N16" s="9">
        <f>K16+G16-(L16-L15)-(M16-M15+G16)</f>
        <v>-3.2464810000000135</v>
      </c>
      <c r="O16" s="10">
        <f t="shared" ref="O16:O21" si="4">K16/J16</f>
        <v>5.19744179165623E-2</v>
      </c>
      <c r="P16" s="12">
        <f>J15*(O16-$D$8)</f>
        <v>-0.35816884920253039</v>
      </c>
      <c r="Q16" s="3"/>
      <c r="R16" s="3"/>
      <c r="Y16" s="32"/>
      <c r="AA16" s="32"/>
    </row>
    <row r="17" spans="1:27" x14ac:dyDescent="0.25">
      <c r="A17">
        <f>A16+1</f>
        <v>2</v>
      </c>
      <c r="B17" s="1">
        <f t="shared" ref="B17:B21" si="5">B16+1</f>
        <v>2016</v>
      </c>
      <c r="C17" s="9">
        <f t="shared" ref="C17:C21" si="6">J17*$D$10</f>
        <v>37.202867423999997</v>
      </c>
      <c r="D17" s="9">
        <f>D16*(1+$D$13)</f>
        <v>299.14200144000006</v>
      </c>
      <c r="E17" s="9">
        <f t="shared" si="0"/>
        <v>249.39507816000005</v>
      </c>
      <c r="F17" s="9">
        <f t="shared" si="0"/>
        <v>34.957297440000005</v>
      </c>
      <c r="G17" s="9">
        <f t="shared" si="0"/>
        <v>4.5878504400000004</v>
      </c>
      <c r="H17" s="17">
        <f t="shared" ref="H17:H21" si="7">D17-E17-F17-G17</f>
        <v>10.201775399999999</v>
      </c>
      <c r="I17" s="9">
        <f t="shared" si="1"/>
        <v>5.6044869883677313</v>
      </c>
      <c r="J17" s="9">
        <f t="shared" ref="J17:J21" si="8">D17/$I$10</f>
        <v>129.54780513</v>
      </c>
      <c r="K17" s="9">
        <f t="shared" si="2"/>
        <v>6.7331717639999988</v>
      </c>
      <c r="L17" s="9">
        <f t="shared" si="3"/>
        <v>74.198750850000025</v>
      </c>
      <c r="M17" s="9">
        <f t="shared" si="3"/>
        <v>55.349054280000004</v>
      </c>
      <c r="N17" s="9">
        <f>K17+G17-(L17-L16)-(M17-M16+G17)</f>
        <v>-3.5256783660000153</v>
      </c>
      <c r="O17" s="10">
        <f t="shared" si="4"/>
        <v>5.1974417916562342E-2</v>
      </c>
      <c r="P17" s="12">
        <f>J17*(O17-$D$8)</f>
        <v>-0.42242290807406213</v>
      </c>
      <c r="Q17" s="3"/>
      <c r="R17" s="3"/>
      <c r="Y17" s="32"/>
      <c r="AA17" s="32"/>
    </row>
    <row r="18" spans="1:27" x14ac:dyDescent="0.25">
      <c r="A18">
        <f t="shared" ref="A18:A20" si="9">A17+1</f>
        <v>3</v>
      </c>
      <c r="B18" s="1">
        <f t="shared" si="5"/>
        <v>2017</v>
      </c>
      <c r="C18" s="9">
        <f t="shared" si="6"/>
        <v>40.402314022464004</v>
      </c>
      <c r="D18" s="9">
        <f>D17*(1+$D$13)</f>
        <v>324.86821356384007</v>
      </c>
      <c r="E18" s="9">
        <f t="shared" si="0"/>
        <v>270.84305488176005</v>
      </c>
      <c r="F18" s="9">
        <f t="shared" si="0"/>
        <v>37.963625019840009</v>
      </c>
      <c r="G18" s="9">
        <f t="shared" si="0"/>
        <v>4.9824055778400007</v>
      </c>
      <c r="H18" s="17">
        <f t="shared" si="7"/>
        <v>11.079128084400008</v>
      </c>
      <c r="I18" s="9">
        <f t="shared" si="1"/>
        <v>6.0864728693673547</v>
      </c>
      <c r="J18" s="9">
        <f t="shared" si="8"/>
        <v>140.68891637118003</v>
      </c>
      <c r="K18" s="9">
        <f t="shared" si="2"/>
        <v>7.3122245357040043</v>
      </c>
      <c r="L18" s="9">
        <f t="shared" si="3"/>
        <v>80.57984342310003</v>
      </c>
      <c r="M18" s="9">
        <f t="shared" si="3"/>
        <v>60.109072948080012</v>
      </c>
      <c r="N18" s="9">
        <f t="shared" ref="N18:N21" si="10">K18+G18-(L18-L17)-(M18-M17+G18)</f>
        <v>-3.828886705476009</v>
      </c>
      <c r="O18" s="10">
        <f t="shared" si="4"/>
        <v>5.197441791656237E-2</v>
      </c>
      <c r="P18" s="12">
        <f t="shared" ref="P18:P21" si="11">J18*(O18-$D$8)</f>
        <v>-0.45875127816842765</v>
      </c>
      <c r="Q18" s="3"/>
      <c r="R18" s="3"/>
      <c r="Y18" s="32"/>
      <c r="AA18" s="32"/>
    </row>
    <row r="19" spans="1:27" x14ac:dyDescent="0.25">
      <c r="A19">
        <f t="shared" si="9"/>
        <v>4</v>
      </c>
      <c r="B19" s="1">
        <f t="shared" si="5"/>
        <v>2018</v>
      </c>
      <c r="C19" s="9">
        <f t="shared" si="6"/>
        <v>43.876913028395911</v>
      </c>
      <c r="D19" s="9">
        <f>D18*(1+$D$13)</f>
        <v>352.80687993033035</v>
      </c>
      <c r="E19" s="9">
        <f t="shared" si="0"/>
        <v>294.13555760159147</v>
      </c>
      <c r="F19" s="9">
        <f t="shared" si="0"/>
        <v>41.228496771546247</v>
      </c>
      <c r="G19" s="9">
        <f t="shared" si="0"/>
        <v>5.4108924575342412</v>
      </c>
      <c r="H19" s="17">
        <f t="shared" si="7"/>
        <v>12.031933099658392</v>
      </c>
      <c r="I19" s="9">
        <f t="shared" si="1"/>
        <v>6.6099095361329487</v>
      </c>
      <c r="J19" s="9">
        <f t="shared" si="8"/>
        <v>152.7881631791015</v>
      </c>
      <c r="K19" s="9">
        <f t="shared" si="2"/>
        <v>7.9410758457745381</v>
      </c>
      <c r="L19" s="9">
        <f t="shared" si="3"/>
        <v>87.509709957486635</v>
      </c>
      <c r="M19" s="9">
        <f t="shared" si="3"/>
        <v>65.278453221614896</v>
      </c>
      <c r="N19" s="9">
        <f t="shared" si="10"/>
        <v>-4.1581709621469507</v>
      </c>
      <c r="O19" s="10">
        <f t="shared" si="4"/>
        <v>5.1974417916562307E-2</v>
      </c>
      <c r="P19" s="12">
        <f t="shared" si="11"/>
        <v>-0.49820388809092198</v>
      </c>
      <c r="Q19" s="3"/>
      <c r="R19" s="3"/>
      <c r="Y19" s="32"/>
      <c r="AA19" s="32"/>
    </row>
    <row r="20" spans="1:27" x14ac:dyDescent="0.25">
      <c r="A20">
        <f t="shared" si="9"/>
        <v>5</v>
      </c>
      <c r="B20" s="1">
        <f t="shared" si="5"/>
        <v>2019</v>
      </c>
      <c r="C20" s="9">
        <f t="shared" si="6"/>
        <v>47.650327548837964</v>
      </c>
      <c r="D20" s="9">
        <f>D19*(1+$D$13)</f>
        <v>383.14827160433879</v>
      </c>
      <c r="E20" s="9">
        <f t="shared" si="0"/>
        <v>319.43121555532832</v>
      </c>
      <c r="F20" s="9">
        <f t="shared" si="0"/>
        <v>44.774147493899228</v>
      </c>
      <c r="G20" s="9">
        <f t="shared" si="0"/>
        <v>5.8762292088821866</v>
      </c>
      <c r="H20" s="17">
        <f t="shared" si="7"/>
        <v>13.066679346229051</v>
      </c>
      <c r="I20" s="9">
        <f t="shared" si="1"/>
        <v>7.1783617562403821</v>
      </c>
      <c r="J20" s="9">
        <f t="shared" si="8"/>
        <v>165.92794521250426</v>
      </c>
      <c r="K20" s="9">
        <f t="shared" si="2"/>
        <v>8.6240083685111735</v>
      </c>
      <c r="L20" s="9">
        <f t="shared" si="3"/>
        <v>95.035545013830486</v>
      </c>
      <c r="M20" s="9">
        <f t="shared" si="3"/>
        <v>70.892400198673784</v>
      </c>
      <c r="N20" s="9">
        <f t="shared" si="10"/>
        <v>-4.5157736648915652</v>
      </c>
      <c r="O20" s="10">
        <f t="shared" si="4"/>
        <v>5.1974417916562446E-2</v>
      </c>
      <c r="P20" s="12">
        <f t="shared" si="11"/>
        <v>-0.54104942246671828</v>
      </c>
      <c r="Q20" s="3"/>
      <c r="R20" s="3"/>
      <c r="Y20" s="32"/>
      <c r="AA20" s="32"/>
    </row>
    <row r="21" spans="1:27" x14ac:dyDescent="0.25">
      <c r="B21" s="1">
        <f t="shared" si="5"/>
        <v>2020</v>
      </c>
      <c r="C21" s="9">
        <f t="shared" si="6"/>
        <v>49.0798373753031</v>
      </c>
      <c r="D21" s="9">
        <f>D20*(1+$D$4)</f>
        <v>394.64271975246896</v>
      </c>
      <c r="E21" s="9">
        <f t="shared" si="0"/>
        <v>329.0141520219882</v>
      </c>
      <c r="F21" s="9">
        <f t="shared" si="0"/>
        <v>46.117371918716209</v>
      </c>
      <c r="G21" s="9">
        <f t="shared" si="0"/>
        <v>6.0525160851486524</v>
      </c>
      <c r="H21" s="17">
        <f t="shared" si="7"/>
        <v>13.458679726615905</v>
      </c>
      <c r="I21" s="9">
        <f t="shared" si="1"/>
        <v>7.7957008672770565</v>
      </c>
      <c r="J21" s="9">
        <f t="shared" si="8"/>
        <v>170.90578356887937</v>
      </c>
      <c r="K21" s="9">
        <f t="shared" si="2"/>
        <v>8.8827286195664961</v>
      </c>
      <c r="L21" s="9">
        <f t="shared" ref="L21:M21" si="12">L20*(1+$D$4)</f>
        <v>97.886611364245397</v>
      </c>
      <c r="M21" s="9">
        <f t="shared" si="12"/>
        <v>73.019172204634003</v>
      </c>
      <c r="N21" s="9">
        <f t="shared" si="10"/>
        <v>3.9048902631913656</v>
      </c>
      <c r="O21" s="10">
        <f t="shared" si="4"/>
        <v>5.1974417916562377E-2</v>
      </c>
      <c r="P21" s="12">
        <f t="shared" si="11"/>
        <v>-0.5572809051407317</v>
      </c>
      <c r="T21" s="22"/>
      <c r="U21" s="22"/>
      <c r="V21" s="22"/>
      <c r="W21" s="22"/>
      <c r="Y21" s="32"/>
      <c r="AA21" s="32"/>
    </row>
    <row r="22" spans="1:27" x14ac:dyDescent="0.25">
      <c r="B22" s="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"/>
      <c r="Q22" s="12"/>
      <c r="R22" s="12"/>
      <c r="S22" s="23"/>
      <c r="T22" s="23"/>
      <c r="U22" s="23"/>
      <c r="V22" s="23"/>
      <c r="W22" s="23"/>
    </row>
    <row r="23" spans="1:27" x14ac:dyDescent="0.25">
      <c r="L23" s="204" t="s">
        <v>137</v>
      </c>
      <c r="M23" s="204"/>
      <c r="N23" s="204"/>
      <c r="O23" s="204"/>
      <c r="P23" s="204"/>
      <c r="Q23" s="204"/>
      <c r="R23" s="140"/>
      <c r="S23" s="140"/>
      <c r="T23" s="140"/>
    </row>
    <row r="24" spans="1:27" ht="18" x14ac:dyDescent="0.35">
      <c r="C24" s="209" t="s">
        <v>138</v>
      </c>
      <c r="D24" s="209"/>
      <c r="E24" s="209"/>
      <c r="F24" s="203" t="s">
        <v>133</v>
      </c>
      <c r="G24" s="203"/>
      <c r="H24" s="203"/>
      <c r="I24" s="206" t="s">
        <v>139</v>
      </c>
      <c r="J24" s="206"/>
      <c r="K24" s="206"/>
      <c r="L24" s="205" t="s">
        <v>140</v>
      </c>
      <c r="M24" s="205"/>
      <c r="N24" s="205"/>
      <c r="O24" s="205" t="s">
        <v>141</v>
      </c>
      <c r="P24" s="205"/>
      <c r="Q24" s="205"/>
      <c r="R24" s="141"/>
      <c r="S24" s="201" t="s">
        <v>211</v>
      </c>
      <c r="T24" s="201"/>
      <c r="U24" s="201"/>
      <c r="V24" s="208" t="s">
        <v>212</v>
      </c>
      <c r="W24" s="208"/>
      <c r="X24" s="208"/>
      <c r="Y24" s="212" t="s">
        <v>212</v>
      </c>
      <c r="Z24" s="212"/>
      <c r="AA24" s="212"/>
    </row>
    <row r="25" spans="1:27" ht="33" x14ac:dyDescent="0.35">
      <c r="B25" s="88" t="s">
        <v>124</v>
      </c>
      <c r="C25" s="15" t="s">
        <v>142</v>
      </c>
      <c r="D25" s="15" t="s">
        <v>143</v>
      </c>
      <c r="E25" s="15" t="s">
        <v>144</v>
      </c>
      <c r="F25" s="28" t="s">
        <v>133</v>
      </c>
      <c r="G25" s="28" t="s">
        <v>145</v>
      </c>
      <c r="H25" s="28" t="s">
        <v>146</v>
      </c>
      <c r="I25" s="88" t="s">
        <v>133</v>
      </c>
      <c r="J25" s="88" t="s">
        <v>147</v>
      </c>
      <c r="K25" s="88" t="s">
        <v>148</v>
      </c>
      <c r="L25" s="33" t="s">
        <v>133</v>
      </c>
      <c r="M25" s="33" t="s">
        <v>149</v>
      </c>
      <c r="N25" s="33" t="s">
        <v>150</v>
      </c>
      <c r="O25" s="33" t="s">
        <v>151</v>
      </c>
      <c r="P25" s="33" t="s">
        <v>152</v>
      </c>
      <c r="Q25" s="33" t="s">
        <v>153</v>
      </c>
      <c r="R25" s="33"/>
      <c r="S25" s="91" t="s">
        <v>133</v>
      </c>
      <c r="T25" s="91" t="s">
        <v>154</v>
      </c>
      <c r="U25" s="91" t="s">
        <v>155</v>
      </c>
      <c r="V25" s="116" t="s">
        <v>133</v>
      </c>
      <c r="W25" s="116" t="s">
        <v>156</v>
      </c>
      <c r="X25" s="116" t="s">
        <v>157</v>
      </c>
      <c r="Y25" s="124" t="s">
        <v>133</v>
      </c>
      <c r="Z25" s="124" t="s">
        <v>158</v>
      </c>
      <c r="AA25" s="124" t="s">
        <v>159</v>
      </c>
    </row>
    <row r="26" spans="1:27" x14ac:dyDescent="0.25">
      <c r="B26" s="135">
        <f>B15</f>
        <v>2014</v>
      </c>
      <c r="C26" s="16">
        <f>P15</f>
        <v>-0.33693321972912671</v>
      </c>
      <c r="D26" s="31"/>
      <c r="E26" s="82"/>
      <c r="F26" s="29">
        <f>N15</f>
        <v>-0.80349999999999966</v>
      </c>
      <c r="G26" s="29"/>
      <c r="H26" s="29"/>
      <c r="I26" s="89">
        <f>N15</f>
        <v>-0.80349999999999966</v>
      </c>
      <c r="J26" s="89"/>
      <c r="K26" s="89"/>
      <c r="L26" s="34">
        <f>N15</f>
        <v>-0.80349999999999966</v>
      </c>
      <c r="M26" s="99"/>
      <c r="N26" s="99"/>
      <c r="O26" s="34">
        <f>I15*$D$7</f>
        <v>1.4824000000000002</v>
      </c>
      <c r="P26" s="99"/>
      <c r="Q26" s="99"/>
      <c r="R26" s="99"/>
      <c r="S26" s="92">
        <f>N15</f>
        <v>-0.80349999999999966</v>
      </c>
      <c r="T26" s="110"/>
      <c r="U26" s="110"/>
      <c r="V26" s="117">
        <f>N15</f>
        <v>-0.80349999999999966</v>
      </c>
      <c r="W26" s="118"/>
      <c r="X26" s="118"/>
      <c r="Y26" s="125">
        <f>N15</f>
        <v>-0.80349999999999966</v>
      </c>
      <c r="Z26" s="126"/>
      <c r="AA26" s="126"/>
    </row>
    <row r="27" spans="1:27" x14ac:dyDescent="0.25">
      <c r="A27">
        <v>1</v>
      </c>
      <c r="B27" s="135">
        <f t="shared" ref="B27:B32" si="13">B16</f>
        <v>2015</v>
      </c>
      <c r="C27" s="16">
        <f t="shared" ref="C27:C32" si="14">P16</f>
        <v>-0.35816884920253039</v>
      </c>
      <c r="D27" s="97">
        <f>C27/((1+$D$8)^A27)</f>
        <v>-0.33942088014859884</v>
      </c>
      <c r="E27" s="97">
        <f>D27</f>
        <v>-0.33942088014859884</v>
      </c>
      <c r="F27" s="29">
        <f t="shared" ref="F27:F32" si="15">N16</f>
        <v>-3.2464810000000135</v>
      </c>
      <c r="G27" s="29">
        <f>F27/((1+$D$8)^$A27)</f>
        <v>-3.0765473905929031</v>
      </c>
      <c r="H27" s="29">
        <f>G27</f>
        <v>-3.0765473905929031</v>
      </c>
      <c r="I27" s="89">
        <f t="shared" ref="I27:I32" si="16">N16</f>
        <v>-3.2464810000000135</v>
      </c>
      <c r="J27" s="89">
        <f>I27/((1+$D$8)^$A27)</f>
        <v>-3.0765473905929031</v>
      </c>
      <c r="K27" s="89">
        <f>J27</f>
        <v>-3.0765473905929031</v>
      </c>
      <c r="L27" s="34">
        <f t="shared" ref="L27:L32" si="17">N16</f>
        <v>-3.2464810000000135</v>
      </c>
      <c r="M27" s="34">
        <f>N16/((1+$H$7)^A16)</f>
        <v>-3.0765473905929031</v>
      </c>
      <c r="N27" s="34">
        <f>M27</f>
        <v>-3.0765473905929031</v>
      </c>
      <c r="O27" s="34">
        <f t="shared" ref="O27:O32" si="18">I16*$D$7</f>
        <v>1.7546276022514073</v>
      </c>
      <c r="P27" s="34">
        <f>O27/((1+$J$7)^A16)</f>
        <v>1.6627834788402664</v>
      </c>
      <c r="Q27" s="34">
        <f>P27</f>
        <v>1.6627834788402664</v>
      </c>
      <c r="R27" s="34"/>
      <c r="S27" s="92">
        <f t="shared" ref="S27:S32" si="19">N16</f>
        <v>-3.2464810000000135</v>
      </c>
      <c r="T27" s="92">
        <f>S27/((1+$H$7)^A16)</f>
        <v>-3.0765473905929031</v>
      </c>
      <c r="U27" s="92">
        <f>T27</f>
        <v>-3.0765473905929031</v>
      </c>
      <c r="V27" s="117">
        <f>N16</f>
        <v>-3.2464810000000135</v>
      </c>
      <c r="W27" s="117">
        <f>V27/((1+$H$7)^A16)</f>
        <v>-3.0765473905929031</v>
      </c>
      <c r="X27" s="117">
        <f>W27</f>
        <v>-3.0765473905929031</v>
      </c>
      <c r="Y27" s="125">
        <f>N16</f>
        <v>-3.2464810000000135</v>
      </c>
      <c r="Z27" s="125">
        <f>Y27/((1+$H$7)^A16)</f>
        <v>-3.0765473905929031</v>
      </c>
      <c r="AA27" s="125">
        <f>Z27</f>
        <v>-3.0765473905929031</v>
      </c>
    </row>
    <row r="28" spans="1:27" x14ac:dyDescent="0.25">
      <c r="A28">
        <v>2</v>
      </c>
      <c r="B28" s="135">
        <f t="shared" si="13"/>
        <v>2016</v>
      </c>
      <c r="C28" s="16">
        <f t="shared" si="14"/>
        <v>-0.42242290807406213</v>
      </c>
      <c r="D28" s="97">
        <f>C28/((1+$D$8)^A28)</f>
        <v>-0.37935774017048912</v>
      </c>
      <c r="E28" s="97">
        <f>E27+D28</f>
        <v>-0.71877862031908801</v>
      </c>
      <c r="F28" s="29">
        <f t="shared" si="15"/>
        <v>-3.5256783660000153</v>
      </c>
      <c r="G28" s="29">
        <f>F28/((1+$D$8)^A28)</f>
        <v>-3.1662425307181725</v>
      </c>
      <c r="H28" s="29">
        <f>H27+G28</f>
        <v>-6.2427899213110756</v>
      </c>
      <c r="I28" s="89">
        <f t="shared" si="16"/>
        <v>-3.5256783660000153</v>
      </c>
      <c r="J28" s="89">
        <f>I28/((1+$D$8)^$A28)</f>
        <v>-3.1662425307181725</v>
      </c>
      <c r="K28" s="89">
        <f>K27+J28</f>
        <v>-6.2427899213110756</v>
      </c>
      <c r="L28" s="34">
        <f t="shared" si="17"/>
        <v>-3.5256783660000153</v>
      </c>
      <c r="M28" s="34">
        <f>N17/((1+$H$7)^A17)</f>
        <v>-3.1662425307181725</v>
      </c>
      <c r="N28" s="34">
        <f>N27+M28</f>
        <v>-6.2427899213110756</v>
      </c>
      <c r="O28" s="34">
        <f t="shared" si="18"/>
        <v>1.9055255760450287</v>
      </c>
      <c r="P28" s="34">
        <f>O28/((1+$J$7)^A17)</f>
        <v>1.7112610669276771</v>
      </c>
      <c r="Q28" s="34">
        <f>Q27+P28</f>
        <v>3.3740445457679433</v>
      </c>
      <c r="R28" s="34"/>
      <c r="S28" s="92">
        <f t="shared" si="19"/>
        <v>-3.5256783660000153</v>
      </c>
      <c r="T28" s="92">
        <f>S28/((1+$H$7)^A17)</f>
        <v>-3.1662425307181725</v>
      </c>
      <c r="U28" s="92">
        <f>U27+T28</f>
        <v>-6.2427899213110756</v>
      </c>
      <c r="V28" s="117">
        <f t="shared" ref="V28:V32" si="20">N17</f>
        <v>-3.5256783660000153</v>
      </c>
      <c r="W28" s="117">
        <f>V28/((1+$H$7)^A17)</f>
        <v>-3.1662425307181725</v>
      </c>
      <c r="X28" s="117">
        <f>X27+W28</f>
        <v>-6.2427899213110756</v>
      </c>
      <c r="Y28" s="125">
        <f t="shared" ref="Y28:Y32" si="21">N17</f>
        <v>-3.5256783660000153</v>
      </c>
      <c r="Z28" s="125">
        <f t="shared" ref="Z28:Z31" si="22">Y28/((1+$H$7)^A17)</f>
        <v>-3.1662425307181725</v>
      </c>
      <c r="AA28" s="125">
        <f>AA27+Z28</f>
        <v>-6.2427899213110756</v>
      </c>
    </row>
    <row r="29" spans="1:27" x14ac:dyDescent="0.25">
      <c r="A29">
        <v>3</v>
      </c>
      <c r="B29" s="135">
        <f t="shared" si="13"/>
        <v>2017</v>
      </c>
      <c r="C29" s="16">
        <f t="shared" si="14"/>
        <v>-0.45875127816842765</v>
      </c>
      <c r="D29" s="97">
        <f>C29/((1+$D$8)^A29)</f>
        <v>-0.39041771791249619</v>
      </c>
      <c r="E29" s="97">
        <f t="shared" ref="E29:E31" si="23">E28+D29</f>
        <v>-1.1091963382315841</v>
      </c>
      <c r="F29" s="29">
        <f t="shared" si="15"/>
        <v>-3.828886705476009</v>
      </c>
      <c r="G29" s="29">
        <f>F29/((1+$D$8)^A29)</f>
        <v>-3.2585526860343892</v>
      </c>
      <c r="H29" s="29">
        <f t="shared" ref="H29:H31" si="24">H28+G29</f>
        <v>-9.5013426073454639</v>
      </c>
      <c r="I29" s="89">
        <f t="shared" si="16"/>
        <v>-3.828886705476009</v>
      </c>
      <c r="J29" s="89">
        <f>I29/((1+$D$8)^$A29)</f>
        <v>-3.2585526860343892</v>
      </c>
      <c r="K29" s="89">
        <f t="shared" ref="K29:K31" si="25">K28+J29</f>
        <v>-9.5013426073454639</v>
      </c>
      <c r="L29" s="34">
        <f t="shared" si="17"/>
        <v>-3.828886705476009</v>
      </c>
      <c r="M29" s="34">
        <f>N18/((1+$H$7)^A18)</f>
        <v>-3.2585526860343892</v>
      </c>
      <c r="N29" s="34">
        <f>N28+M29</f>
        <v>-9.5013426073454639</v>
      </c>
      <c r="O29" s="34">
        <f t="shared" si="18"/>
        <v>2.0694007755849007</v>
      </c>
      <c r="P29" s="34">
        <f>O29/((1+$J$7)^A18)</f>
        <v>1.7611519938993605</v>
      </c>
      <c r="Q29" s="34">
        <f t="shared" ref="Q29:Q31" si="26">Q28+P29</f>
        <v>5.1351965396673034</v>
      </c>
      <c r="R29" s="34"/>
      <c r="S29" s="92">
        <f t="shared" si="19"/>
        <v>-3.828886705476009</v>
      </c>
      <c r="T29" s="92">
        <f>S29/((1+$H$7)^A18)</f>
        <v>-3.2585526860343892</v>
      </c>
      <c r="U29" s="92">
        <f>U28+T29</f>
        <v>-9.5013426073454639</v>
      </c>
      <c r="V29" s="117">
        <f t="shared" si="20"/>
        <v>-3.828886705476009</v>
      </c>
      <c r="W29" s="117">
        <f>V29/((1+$H$7)^A18)</f>
        <v>-3.2585526860343892</v>
      </c>
      <c r="X29" s="117">
        <f>X28+W29</f>
        <v>-9.5013426073454639</v>
      </c>
      <c r="Y29" s="125">
        <f t="shared" si="21"/>
        <v>-3.828886705476009</v>
      </c>
      <c r="Z29" s="125">
        <f t="shared" si="22"/>
        <v>-3.2585526860343892</v>
      </c>
      <c r="AA29" s="125">
        <f>AA28+Z29</f>
        <v>-9.5013426073454639</v>
      </c>
    </row>
    <row r="30" spans="1:27" x14ac:dyDescent="0.25">
      <c r="A30">
        <v>4</v>
      </c>
      <c r="B30" s="135">
        <f t="shared" si="13"/>
        <v>2018</v>
      </c>
      <c r="C30" s="16">
        <f t="shared" si="14"/>
        <v>-0.49820388809092198</v>
      </c>
      <c r="D30" s="97">
        <f>C30/((1+$D$8)^A30)</f>
        <v>-0.40180014355711596</v>
      </c>
      <c r="E30" s="97">
        <f t="shared" si="23"/>
        <v>-1.5109964817887001</v>
      </c>
      <c r="F30" s="29">
        <f t="shared" si="15"/>
        <v>-4.1581709621469507</v>
      </c>
      <c r="G30" s="29">
        <f>F30/((1+$D$8)^A30)</f>
        <v>-3.3535540959502992</v>
      </c>
      <c r="H30" s="29">
        <f t="shared" si="24"/>
        <v>-12.854896703295763</v>
      </c>
      <c r="I30" s="89">
        <f t="shared" si="16"/>
        <v>-4.1581709621469507</v>
      </c>
      <c r="J30" s="89">
        <f>I30/((1+$D$8)^$A30)</f>
        <v>-3.3535540959502992</v>
      </c>
      <c r="K30" s="89">
        <f t="shared" si="25"/>
        <v>-12.854896703295763</v>
      </c>
      <c r="L30" s="34">
        <f t="shared" si="17"/>
        <v>-4.1581709621469507</v>
      </c>
      <c r="M30" s="34">
        <f>N19/((1+$H$7)^A19)</f>
        <v>-3.3535540959502992</v>
      </c>
      <c r="N30" s="34">
        <f>N29+M30</f>
        <v>-12.854896703295763</v>
      </c>
      <c r="O30" s="34">
        <f t="shared" si="18"/>
        <v>2.2473692422852025</v>
      </c>
      <c r="P30" s="34">
        <f>O30/((1+$J$7)^A19)</f>
        <v>1.8124974649159009</v>
      </c>
      <c r="Q30" s="34">
        <f t="shared" si="26"/>
        <v>6.9476940045832043</v>
      </c>
      <c r="R30" s="34"/>
      <c r="S30" s="92">
        <f t="shared" si="19"/>
        <v>-4.1581709621469507</v>
      </c>
      <c r="T30" s="92">
        <f>S30/((1+$H$7)^A19)</f>
        <v>-3.3535540959502992</v>
      </c>
      <c r="U30" s="92">
        <f>U29+T30</f>
        <v>-12.854896703295763</v>
      </c>
      <c r="V30" s="117">
        <f t="shared" si="20"/>
        <v>-4.1581709621469507</v>
      </c>
      <c r="W30" s="117">
        <f>V30/((1+$H$7)^A19)</f>
        <v>-3.3535540959502992</v>
      </c>
      <c r="X30" s="117">
        <f>X29+W30</f>
        <v>-12.854896703295763</v>
      </c>
      <c r="Y30" s="125">
        <f t="shared" si="21"/>
        <v>-4.1581709621469507</v>
      </c>
      <c r="Z30" s="125">
        <f t="shared" si="22"/>
        <v>-3.3535540959502992</v>
      </c>
      <c r="AA30" s="125">
        <f>AA29+Z30</f>
        <v>-12.854896703295763</v>
      </c>
    </row>
    <row r="31" spans="1:27" x14ac:dyDescent="0.25">
      <c r="A31">
        <v>5</v>
      </c>
      <c r="B31" s="135">
        <f t="shared" si="13"/>
        <v>2019</v>
      </c>
      <c r="C31" s="16">
        <f t="shared" si="14"/>
        <v>-0.54104942246671828</v>
      </c>
      <c r="D31" s="97">
        <f>C31/((1+$D$8)^A31)</f>
        <v>-0.4135144179053194</v>
      </c>
      <c r="E31" s="97">
        <f t="shared" si="23"/>
        <v>-1.9245108996940195</v>
      </c>
      <c r="F31" s="29">
        <f t="shared" si="15"/>
        <v>-4.5157736648915652</v>
      </c>
      <c r="G31" s="29">
        <f>F31/((1+$D$8)^A31)</f>
        <v>-3.4513252225949329</v>
      </c>
      <c r="H31" s="29">
        <f t="shared" si="24"/>
        <v>-16.306221925890696</v>
      </c>
      <c r="I31" s="89">
        <f t="shared" si="16"/>
        <v>-4.5157736648915652</v>
      </c>
      <c r="J31" s="89">
        <f>I31/((1+$D$8)^$A31)</f>
        <v>-3.4513252225949329</v>
      </c>
      <c r="K31" s="89">
        <f t="shared" si="25"/>
        <v>-16.306221925890696</v>
      </c>
      <c r="L31" s="34">
        <f t="shared" si="17"/>
        <v>-4.5157736648915652</v>
      </c>
      <c r="M31" s="34">
        <f>N20/((1+$H$7)^A20)</f>
        <v>-3.4513252225949329</v>
      </c>
      <c r="N31" s="34">
        <f>N30+M31</f>
        <v>-16.306221925890696</v>
      </c>
      <c r="O31" s="34">
        <f t="shared" si="18"/>
        <v>2.4406429971217301</v>
      </c>
      <c r="P31" s="34">
        <f>O31/((1+$J$7)^A20)</f>
        <v>1.86533988645292</v>
      </c>
      <c r="Q31" s="34">
        <f t="shared" si="26"/>
        <v>8.8130338910361239</v>
      </c>
      <c r="R31" s="34"/>
      <c r="S31" s="92">
        <f t="shared" si="19"/>
        <v>-4.5157736648915652</v>
      </c>
      <c r="T31" s="92">
        <f>S31/((1+$H$7)^A20)</f>
        <v>-3.4513252225949329</v>
      </c>
      <c r="U31" s="92">
        <f>U30+T31</f>
        <v>-16.306221925890696</v>
      </c>
      <c r="V31" s="117">
        <f t="shared" si="20"/>
        <v>-4.5157736648915652</v>
      </c>
      <c r="W31" s="117">
        <f>V31/((1+$H$7)^A20)</f>
        <v>-3.4513252225949329</v>
      </c>
      <c r="X31" s="117">
        <f>X30+W31</f>
        <v>-16.306221925890696</v>
      </c>
      <c r="Y31" s="125">
        <f t="shared" si="21"/>
        <v>-4.5157736648915652</v>
      </c>
      <c r="Z31" s="125">
        <f t="shared" si="22"/>
        <v>-3.4513252225949329</v>
      </c>
      <c r="AA31" s="125">
        <f>AA30+Z31</f>
        <v>-16.306221925890696</v>
      </c>
    </row>
    <row r="32" spans="1:27" x14ac:dyDescent="0.25">
      <c r="B32" s="135">
        <f t="shared" si="13"/>
        <v>2020</v>
      </c>
      <c r="C32" s="16">
        <f t="shared" si="14"/>
        <v>-0.5572809051407317</v>
      </c>
      <c r="D32" s="14"/>
      <c r="F32" s="29">
        <f t="shared" si="15"/>
        <v>3.9048902631913656</v>
      </c>
      <c r="G32" s="29"/>
      <c r="H32" s="29"/>
      <c r="I32" s="89">
        <f t="shared" si="16"/>
        <v>3.9048902631913656</v>
      </c>
      <c r="J32" s="89"/>
      <c r="K32" s="89"/>
      <c r="L32" s="34">
        <f t="shared" si="17"/>
        <v>3.9048902631913656</v>
      </c>
      <c r="M32" s="99"/>
      <c r="N32" s="99"/>
      <c r="O32" s="34">
        <f t="shared" si="18"/>
        <v>2.6505382948741993</v>
      </c>
      <c r="P32" s="99"/>
      <c r="Q32" s="99"/>
      <c r="R32" s="99"/>
      <c r="S32" s="92">
        <f t="shared" si="19"/>
        <v>3.9048902631913656</v>
      </c>
      <c r="T32" s="110"/>
      <c r="U32" s="110"/>
      <c r="V32" s="117">
        <f t="shared" si="20"/>
        <v>3.9048902631913656</v>
      </c>
      <c r="W32" s="118"/>
      <c r="X32" s="118"/>
      <c r="Y32" s="125">
        <f t="shared" si="21"/>
        <v>3.9048902631913656</v>
      </c>
      <c r="Z32" s="126"/>
      <c r="AA32" s="126"/>
    </row>
    <row r="33" spans="2:27" x14ac:dyDescent="0.25">
      <c r="B33" s="13"/>
      <c r="C33" s="13"/>
      <c r="D33" s="13"/>
      <c r="F33" s="30"/>
      <c r="G33" s="30"/>
      <c r="H33" s="30"/>
      <c r="I33" s="90"/>
      <c r="J33" s="90"/>
      <c r="K33" s="90"/>
      <c r="L33" s="24"/>
      <c r="M33" s="24"/>
      <c r="N33" s="24"/>
      <c r="O33" s="24"/>
      <c r="P33" s="24"/>
      <c r="Q33" s="24"/>
      <c r="R33" s="24"/>
      <c r="S33" s="93"/>
      <c r="T33" s="93"/>
      <c r="U33" s="93"/>
      <c r="V33" s="119"/>
      <c r="W33" s="119"/>
      <c r="X33" s="119"/>
      <c r="Y33" s="127"/>
      <c r="Z33" s="127"/>
      <c r="AA33" s="127"/>
    </row>
    <row r="34" spans="2:27" ht="18" x14ac:dyDescent="0.35">
      <c r="B34" s="13"/>
      <c r="D34" s="25" t="s">
        <v>160</v>
      </c>
      <c r="E34" s="103">
        <f>J15</f>
        <v>109.8425</v>
      </c>
      <c r="F34" s="104"/>
      <c r="G34" s="105" t="s">
        <v>145</v>
      </c>
      <c r="H34" s="104">
        <f>H31</f>
        <v>-16.306221925890696</v>
      </c>
      <c r="I34" s="98"/>
      <c r="J34" s="106" t="s">
        <v>161</v>
      </c>
      <c r="K34" s="98">
        <f>K31</f>
        <v>-16.306221925890696</v>
      </c>
      <c r="L34" s="107"/>
      <c r="M34" s="108" t="s">
        <v>149</v>
      </c>
      <c r="N34" s="107">
        <f>N31</f>
        <v>-16.306221925890696</v>
      </c>
      <c r="O34" s="107"/>
      <c r="P34" s="108" t="s">
        <v>162</v>
      </c>
      <c r="Q34" s="107">
        <f>Q31</f>
        <v>8.8130338910361239</v>
      </c>
      <c r="R34" s="107"/>
      <c r="S34" s="207" t="s">
        <v>213</v>
      </c>
      <c r="T34" s="112" t="s">
        <v>163</v>
      </c>
      <c r="U34" s="111">
        <f>U31</f>
        <v>-16.306221925890696</v>
      </c>
      <c r="V34" s="211" t="s">
        <v>164</v>
      </c>
      <c r="W34" s="120" t="s">
        <v>165</v>
      </c>
      <c r="X34" s="121">
        <f>X31</f>
        <v>-16.306221925890696</v>
      </c>
      <c r="Y34" s="213" t="s">
        <v>164</v>
      </c>
      <c r="Z34" s="128" t="s">
        <v>166</v>
      </c>
      <c r="AA34" s="129">
        <f>AA31</f>
        <v>-16.306221925890696</v>
      </c>
    </row>
    <row r="35" spans="2:27" ht="18" x14ac:dyDescent="0.35">
      <c r="D35" s="25" t="s">
        <v>167</v>
      </c>
      <c r="E35" s="103">
        <f>E31</f>
        <v>-1.9245108996940195</v>
      </c>
      <c r="F35" s="104"/>
      <c r="G35" s="105" t="s">
        <v>168</v>
      </c>
      <c r="H35" s="104">
        <f>(F32)/(D8-D4)</f>
        <v>154.74001966489405</v>
      </c>
      <c r="I35" s="98"/>
      <c r="J35" s="106" t="s">
        <v>169</v>
      </c>
      <c r="K35" s="98">
        <f>(K21*(1-(D4/O21)))/(D8-D4)</f>
        <v>148.82227995977405</v>
      </c>
      <c r="L35" s="107"/>
      <c r="M35" s="108" t="s">
        <v>170</v>
      </c>
      <c r="N35" s="107">
        <f>(L32)/(D8-D4)</f>
        <v>154.74001966489405</v>
      </c>
      <c r="O35" s="107"/>
      <c r="P35" s="108" t="s">
        <v>171</v>
      </c>
      <c r="Q35" s="107">
        <f>(O32)/(J7-D4)</f>
        <v>105.03351444662314</v>
      </c>
      <c r="R35" s="107"/>
      <c r="S35" s="207"/>
      <c r="T35" s="112" t="s">
        <v>172</v>
      </c>
      <c r="U35" s="113">
        <f>'Fin Stmt'!P44*'Mkt Val without BOP'!H21</f>
        <v>171.73725913644998</v>
      </c>
      <c r="V35" s="211"/>
      <c r="W35" s="120" t="s">
        <v>173</v>
      </c>
      <c r="X35" s="123">
        <f>V36*H21</f>
        <v>201.88019589923857</v>
      </c>
      <c r="Y35" s="213"/>
      <c r="Z35" s="128" t="s">
        <v>174</v>
      </c>
      <c r="AA35" s="130">
        <f>Y36*H21</f>
        <v>269.17359453231813</v>
      </c>
    </row>
    <row r="36" spans="2:27" ht="18" x14ac:dyDescent="0.35">
      <c r="D36" s="25" t="s">
        <v>175</v>
      </c>
      <c r="E36" s="103">
        <f>(J20*(O21-D8))/(D8-D4)</f>
        <v>-21.440294766121678</v>
      </c>
      <c r="F36" s="104"/>
      <c r="G36" s="105" t="s">
        <v>176</v>
      </c>
      <c r="H36" s="104">
        <f>H35/((1+D8)^A31)</f>
        <v>118.26503550573959</v>
      </c>
      <c r="I36" s="98"/>
      <c r="J36" s="106" t="s">
        <v>177</v>
      </c>
      <c r="K36" s="98">
        <f>K35/((1+D8)^A20)</f>
        <v>113.74221265838978</v>
      </c>
      <c r="L36" s="107"/>
      <c r="M36" s="108" t="s">
        <v>178</v>
      </c>
      <c r="N36" s="107">
        <f>N35/((1+H7)^A31)</f>
        <v>118.26503550573959</v>
      </c>
      <c r="O36" s="107"/>
      <c r="P36" s="108" t="s">
        <v>179</v>
      </c>
      <c r="Q36" s="107">
        <f>Q35/((1+J7)^A20)</f>
        <v>80.275240640547992</v>
      </c>
      <c r="R36" s="107"/>
      <c r="S36" s="153">
        <f>'Fin Stmt'!P44</f>
        <v>12.76033478951298</v>
      </c>
      <c r="T36" s="112" t="s">
        <v>180</v>
      </c>
      <c r="U36" s="111">
        <f>U35/((1+D8)^A20)</f>
        <v>131.25572229740717</v>
      </c>
      <c r="V36" s="122">
        <v>15</v>
      </c>
      <c r="W36" s="120" t="s">
        <v>181</v>
      </c>
      <c r="X36" s="121">
        <f>X35/((1+H7)^A20)</f>
        <v>154.29343092778299</v>
      </c>
      <c r="Y36" s="131">
        <v>20</v>
      </c>
      <c r="Z36" s="128" t="s">
        <v>182</v>
      </c>
      <c r="AA36" s="129">
        <f>AA35/((1+H7)^A20)</f>
        <v>205.72457457037737</v>
      </c>
    </row>
    <row r="37" spans="2:27" ht="18" x14ac:dyDescent="0.35">
      <c r="D37" s="25" t="s">
        <v>183</v>
      </c>
      <c r="E37" s="103">
        <f>E36/((1+D8)^A31)</f>
        <v>-16.386434661570384</v>
      </c>
      <c r="F37" s="104"/>
      <c r="G37" s="105" t="s">
        <v>184</v>
      </c>
      <c r="H37" s="104">
        <f>H34+H36</f>
        <v>101.95881357984889</v>
      </c>
      <c r="I37" s="98"/>
      <c r="J37" s="106" t="s">
        <v>185</v>
      </c>
      <c r="K37" s="98">
        <f>K36+K34</f>
        <v>97.435990732499079</v>
      </c>
      <c r="L37" s="107"/>
      <c r="M37" s="108" t="s">
        <v>186</v>
      </c>
      <c r="N37" s="107">
        <f>N34+N36</f>
        <v>101.95881357984889</v>
      </c>
      <c r="O37" s="107"/>
      <c r="P37" s="108" t="s">
        <v>187</v>
      </c>
      <c r="Q37" s="107">
        <f>Q34+Q36</f>
        <v>89.088274531584119</v>
      </c>
      <c r="R37" s="107"/>
      <c r="S37" s="111"/>
      <c r="T37" s="112" t="s">
        <v>188</v>
      </c>
      <c r="U37" s="111">
        <f>U34+U36</f>
        <v>114.94950037151648</v>
      </c>
      <c r="V37" s="121"/>
      <c r="W37" s="120" t="s">
        <v>189</v>
      </c>
      <c r="X37" s="121">
        <f>X34+X36</f>
        <v>137.9872090018923</v>
      </c>
      <c r="Y37" s="129"/>
      <c r="Z37" s="128" t="s">
        <v>190</v>
      </c>
      <c r="AA37" s="129">
        <f>AA34+AA36</f>
        <v>189.41835264448667</v>
      </c>
    </row>
    <row r="38" spans="2:27" ht="18" x14ac:dyDescent="0.35">
      <c r="D38" s="25" t="s">
        <v>191</v>
      </c>
      <c r="E38" s="103">
        <f>E35+E37+E34</f>
        <v>91.531554438735597</v>
      </c>
      <c r="F38" s="109"/>
      <c r="G38" s="109"/>
      <c r="H38" s="109"/>
      <c r="I38" s="109"/>
      <c r="J38" s="109"/>
      <c r="K38" s="109"/>
      <c r="L38" s="107"/>
      <c r="M38" s="107"/>
      <c r="N38" s="107"/>
      <c r="O38" s="107"/>
      <c r="P38" s="107"/>
      <c r="Q38" s="107"/>
      <c r="R38" s="107"/>
      <c r="S38" s="109"/>
      <c r="T38" s="109"/>
      <c r="U38" s="109"/>
    </row>
    <row r="39" spans="2:27" ht="18" x14ac:dyDescent="0.35">
      <c r="E39" s="109"/>
      <c r="F39" s="109"/>
      <c r="G39" s="109"/>
      <c r="H39" s="109"/>
      <c r="I39" s="109"/>
      <c r="J39" s="109"/>
      <c r="K39" s="109"/>
      <c r="L39" s="107"/>
      <c r="M39" s="107"/>
      <c r="N39" s="108" t="s">
        <v>192</v>
      </c>
      <c r="O39" s="107">
        <f>N37+Q37</f>
        <v>191.04708811143303</v>
      </c>
      <c r="P39" s="107"/>
      <c r="Q39" s="107"/>
      <c r="R39" s="107"/>
      <c r="S39" s="109"/>
      <c r="T39" s="109"/>
      <c r="U39" s="109"/>
    </row>
    <row r="42" spans="2:27" x14ac:dyDescent="0.25">
      <c r="H42" s="18"/>
    </row>
    <row r="43" spans="2:27" x14ac:dyDescent="0.25">
      <c r="H43" s="18"/>
    </row>
    <row r="44" spans="2:27" x14ac:dyDescent="0.25">
      <c r="H44" s="18"/>
    </row>
  </sheetData>
  <mergeCells count="23">
    <mergeCell ref="S34:S35"/>
    <mergeCell ref="V24:X24"/>
    <mergeCell ref="C24:E24"/>
    <mergeCell ref="N4:O4"/>
    <mergeCell ref="A1:Y1"/>
    <mergeCell ref="A4:C4"/>
    <mergeCell ref="F4:H4"/>
    <mergeCell ref="A5:C5"/>
    <mergeCell ref="V34:V35"/>
    <mergeCell ref="Y24:AA24"/>
    <mergeCell ref="Y34:Y35"/>
    <mergeCell ref="A6:C6"/>
    <mergeCell ref="A7:C7"/>
    <mergeCell ref="A8:C8"/>
    <mergeCell ref="A10:C10"/>
    <mergeCell ref="F10:H10"/>
    <mergeCell ref="S24:U24"/>
    <mergeCell ref="B13:C13"/>
    <mergeCell ref="F24:H24"/>
    <mergeCell ref="L23:Q23"/>
    <mergeCell ref="L24:N24"/>
    <mergeCell ref="O24:Q24"/>
    <mergeCell ref="I24:K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zoomScale="80" zoomScaleNormal="80" workbookViewId="0">
      <selection activeCell="AB42" sqref="AB42"/>
    </sheetView>
  </sheetViews>
  <sheetFormatPr defaultRowHeight="15" x14ac:dyDescent="0.25"/>
  <cols>
    <col min="5" max="5" width="11.5703125" bestFit="1" customWidth="1"/>
    <col min="6" max="8" width="10.7109375" customWidth="1"/>
    <col min="9" max="9" width="12.7109375" customWidth="1"/>
    <col min="10" max="10" width="10.5703125" bestFit="1" customWidth="1"/>
    <col min="11" max="11" width="10.5703125" customWidth="1"/>
    <col min="14" max="17" width="9.5703125" bestFit="1" customWidth="1"/>
    <col min="18" max="18" width="3.7109375" customWidth="1"/>
    <col min="19" max="31" width="12.7109375" customWidth="1"/>
  </cols>
  <sheetData>
    <row r="1" spans="1:26" x14ac:dyDescent="0.25">
      <c r="A1" s="189" t="s">
        <v>111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26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x14ac:dyDescent="0.25">
      <c r="I3" s="26">
        <f>'Fin Stmt'!D6</f>
        <v>2013</v>
      </c>
      <c r="J3" s="26">
        <f>'Fin Stmt'!E6</f>
        <v>2014</v>
      </c>
    </row>
    <row r="4" spans="1:26" x14ac:dyDescent="0.25">
      <c r="A4" s="210" t="s">
        <v>112</v>
      </c>
      <c r="B4" s="202"/>
      <c r="C4" s="202"/>
      <c r="D4" s="70">
        <f>'Fin Stmt'!K70</f>
        <v>0.03</v>
      </c>
      <c r="F4" s="202" t="s">
        <v>113</v>
      </c>
      <c r="G4" s="202"/>
      <c r="H4" s="202"/>
      <c r="I4">
        <f>'Fin Stmt'!J15</f>
        <v>26.65</v>
      </c>
      <c r="J4">
        <f>'Fin Stmt'!K15</f>
        <v>31.544</v>
      </c>
      <c r="M4" s="138"/>
      <c r="N4" s="189" t="s">
        <v>114</v>
      </c>
      <c r="O4" s="189"/>
      <c r="P4" s="138"/>
      <c r="Q4" s="82"/>
      <c r="R4" s="82"/>
      <c r="U4" s="138"/>
      <c r="V4" s="138"/>
      <c r="W4" s="138"/>
      <c r="X4" s="138"/>
    </row>
    <row r="5" spans="1:26" x14ac:dyDescent="0.25">
      <c r="A5" s="202" t="str">
        <f>'Fin Stmt'!N38</f>
        <v>Taxes Paid/Taxable Income</v>
      </c>
      <c r="B5" s="202"/>
      <c r="C5" s="202"/>
      <c r="D5" s="70">
        <f>'Fin Stmt'!P38</f>
        <v>0.31999999999999962</v>
      </c>
      <c r="M5" s="82"/>
      <c r="N5" s="6" t="s">
        <v>115</v>
      </c>
      <c r="O5" s="94">
        <v>0.06</v>
      </c>
      <c r="P5" s="82"/>
      <c r="Q5" s="82"/>
      <c r="R5" s="82"/>
      <c r="U5" s="12"/>
      <c r="V5" s="12"/>
      <c r="W5" s="12"/>
      <c r="X5" s="12"/>
    </row>
    <row r="6" spans="1:26" ht="18" x14ac:dyDescent="0.35">
      <c r="A6" s="202" t="s">
        <v>62</v>
      </c>
      <c r="B6" s="202"/>
      <c r="C6" s="202"/>
      <c r="D6" s="70">
        <f>'Fin Stmt'!P39</f>
        <v>0.34</v>
      </c>
      <c r="G6" t="s">
        <v>116</v>
      </c>
      <c r="M6" s="138"/>
      <c r="N6" s="139" t="s">
        <v>117</v>
      </c>
      <c r="O6" s="94">
        <v>6.0000000000000001E-3</v>
      </c>
      <c r="P6" s="82"/>
      <c r="Q6" s="82"/>
      <c r="R6" s="82"/>
      <c r="U6" s="82"/>
      <c r="V6" s="82"/>
      <c r="W6" s="82"/>
      <c r="X6" s="82"/>
    </row>
    <row r="7" spans="1:26" ht="18" x14ac:dyDescent="0.35">
      <c r="A7" s="202" t="s">
        <v>65</v>
      </c>
      <c r="B7" s="202"/>
      <c r="C7" s="202"/>
      <c r="D7" s="83">
        <f>'Fin Stmt'!P40</f>
        <v>0.34</v>
      </c>
      <c r="E7" s="5"/>
      <c r="F7" s="5"/>
      <c r="G7" s="139" t="s">
        <v>118</v>
      </c>
      <c r="H7" s="70">
        <f>D8</f>
        <v>0.12</v>
      </c>
      <c r="I7" s="139" t="s">
        <v>119</v>
      </c>
      <c r="J7" s="70">
        <f>H7</f>
        <v>0.12</v>
      </c>
      <c r="M7" s="82"/>
      <c r="N7" s="139" t="s">
        <v>120</v>
      </c>
      <c r="O7" s="94">
        <v>0.02</v>
      </c>
      <c r="P7" s="82"/>
      <c r="Q7" s="82"/>
      <c r="R7" s="82"/>
      <c r="U7" s="82"/>
      <c r="V7" s="82"/>
      <c r="W7" s="82"/>
      <c r="X7" s="82"/>
    </row>
    <row r="8" spans="1:26" x14ac:dyDescent="0.25">
      <c r="A8" s="202" t="s">
        <v>193</v>
      </c>
      <c r="B8" s="202"/>
      <c r="C8" s="202"/>
      <c r="D8" s="188">
        <f>'Fin Stmt'!K72</f>
        <v>0.12</v>
      </c>
      <c r="G8" s="139"/>
      <c r="H8" s="3"/>
      <c r="M8" s="138"/>
      <c r="N8" s="96" t="s">
        <v>15</v>
      </c>
      <c r="O8" s="95">
        <f>SUM(O5:O7)</f>
        <v>8.6000000000000007E-2</v>
      </c>
      <c r="P8" s="138"/>
      <c r="Q8" s="138"/>
      <c r="R8" s="138"/>
      <c r="U8" s="138"/>
      <c r="V8" s="138"/>
      <c r="W8" s="138"/>
      <c r="X8" s="138"/>
    </row>
    <row r="9" spans="1:26" x14ac:dyDescent="0.25">
      <c r="A9" s="139"/>
      <c r="B9" s="139"/>
      <c r="C9" s="139"/>
      <c r="M9" s="12"/>
      <c r="N9" s="12"/>
      <c r="P9" s="11"/>
      <c r="Q9" s="12"/>
      <c r="R9" s="12"/>
      <c r="S9" s="12"/>
      <c r="T9" s="12"/>
      <c r="U9" s="12"/>
      <c r="V9" s="12"/>
      <c r="W9" s="12"/>
      <c r="X9" s="12"/>
    </row>
    <row r="10" spans="1:26" ht="30" customHeight="1" x14ac:dyDescent="0.25">
      <c r="A10" s="214" t="s">
        <v>122</v>
      </c>
      <c r="B10" s="214"/>
      <c r="C10" s="214"/>
      <c r="D10" s="3">
        <f>C16/J16</f>
        <v>0.28717481849011084</v>
      </c>
      <c r="F10" s="214" t="s">
        <v>123</v>
      </c>
      <c r="G10" s="214"/>
      <c r="H10" s="214"/>
      <c r="I10" s="3">
        <f>D16/J16</f>
        <v>2.3091244281584999</v>
      </c>
      <c r="J10" s="3"/>
    </row>
    <row r="12" spans="1:26" ht="30" x14ac:dyDescent="0.25">
      <c r="B12" s="142" t="s">
        <v>124</v>
      </c>
      <c r="C12" s="142" t="s">
        <v>105</v>
      </c>
      <c r="D12" s="142" t="s">
        <v>125</v>
      </c>
      <c r="E12" s="142" t="s">
        <v>126</v>
      </c>
      <c r="F12" s="142" t="s">
        <v>127</v>
      </c>
      <c r="G12" s="142" t="s">
        <v>128</v>
      </c>
      <c r="H12" s="142" t="s">
        <v>52</v>
      </c>
      <c r="I12" s="142" t="s">
        <v>129</v>
      </c>
      <c r="J12" s="142" t="s">
        <v>130</v>
      </c>
      <c r="K12" s="142" t="s">
        <v>131</v>
      </c>
      <c r="L12" s="19" t="s">
        <v>57</v>
      </c>
      <c r="M12" s="7" t="s">
        <v>132</v>
      </c>
      <c r="N12" s="142" t="s">
        <v>133</v>
      </c>
      <c r="O12" s="142" t="s">
        <v>134</v>
      </c>
      <c r="P12" s="142" t="s">
        <v>135</v>
      </c>
      <c r="Q12" s="142"/>
      <c r="R12" s="142"/>
    </row>
    <row r="13" spans="1:26" x14ac:dyDescent="0.25">
      <c r="B13" s="202" t="s">
        <v>136</v>
      </c>
      <c r="C13" s="202"/>
      <c r="D13" s="114">
        <v>8.5999999999999993E-2</v>
      </c>
      <c r="E13" s="114">
        <f>E16/$D$16</f>
        <v>0.83370130894180727</v>
      </c>
      <c r="F13" s="114">
        <f>F16/$D$16</f>
        <v>0.11685853966251379</v>
      </c>
      <c r="G13" s="114">
        <f>G16/$D$16</f>
        <v>1.5336697681753666E-2</v>
      </c>
      <c r="H13" s="94"/>
      <c r="I13" s="114">
        <f>I16/$I$4</f>
        <v>0.16360225140712947</v>
      </c>
      <c r="J13" s="178"/>
      <c r="K13" s="178"/>
      <c r="L13" s="19"/>
      <c r="M13" s="7"/>
      <c r="N13" s="178"/>
      <c r="O13" s="178"/>
      <c r="P13" s="178"/>
      <c r="Q13" s="178"/>
      <c r="R13" s="178"/>
    </row>
    <row r="14" spans="1:26" ht="17.25" x14ac:dyDescent="0.25">
      <c r="A14" s="202" t="s">
        <v>194</v>
      </c>
      <c r="B14" s="202"/>
      <c r="C14" s="202"/>
      <c r="D14" s="114">
        <v>0.02</v>
      </c>
      <c r="E14" s="114">
        <v>0.03</v>
      </c>
      <c r="F14" s="114">
        <v>0.03</v>
      </c>
      <c r="G14" s="114"/>
      <c r="H14" s="94"/>
      <c r="I14" s="114">
        <v>0.1036</v>
      </c>
      <c r="J14" s="178"/>
      <c r="K14" s="178"/>
      <c r="L14" s="19"/>
      <c r="M14" s="7"/>
      <c r="N14" s="178"/>
      <c r="O14" s="178"/>
      <c r="P14" s="178"/>
      <c r="Q14" s="178"/>
      <c r="R14" s="178"/>
    </row>
    <row r="15" spans="1:26" x14ac:dyDescent="0.25"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9"/>
      <c r="M15" s="7"/>
      <c r="N15" s="178"/>
      <c r="O15" s="178"/>
      <c r="P15" s="178"/>
      <c r="Q15" s="178"/>
      <c r="R15" s="178"/>
    </row>
    <row r="16" spans="1:26" x14ac:dyDescent="0.25">
      <c r="B16" s="1">
        <f>'Fin Stmt'!E6</f>
        <v>2014</v>
      </c>
      <c r="C16" s="1">
        <v>31.544</v>
      </c>
      <c r="D16" s="9">
        <f>'Fin Stmt'!P10</f>
        <v>253.64000000000001</v>
      </c>
      <c r="E16" s="9">
        <f>'Fin Stmt'!P13</f>
        <v>211.46</v>
      </c>
      <c r="F16" s="9">
        <f>'Fin Stmt'!P14</f>
        <v>29.64</v>
      </c>
      <c r="G16" s="9">
        <f>'Fin Stmt'!P15</f>
        <v>3.89</v>
      </c>
      <c r="H16" s="17">
        <f>D16-E16-F16-G16</f>
        <v>8.6500000000000057</v>
      </c>
      <c r="I16" s="9">
        <f>'Fin Stmt'!P21</f>
        <v>4.3600000000000003</v>
      </c>
      <c r="J16" s="1">
        <f>'Fin Stmt'!K38</f>
        <v>109.8425</v>
      </c>
      <c r="K16" s="1">
        <f>(D16-E16-F16-G16)*(1-$D$6)</f>
        <v>5.7090000000000032</v>
      </c>
      <c r="L16" s="132">
        <f>'Fin Stmt'!E38</f>
        <v>62.912500000000009</v>
      </c>
      <c r="M16" s="9">
        <f>'Fin Stmt'!E17</f>
        <v>46.93</v>
      </c>
      <c r="N16" s="9">
        <f>K16+G16-(L16-'Fin Stmt'!D38)-('Mkt Val with BOP and required r'!M16-'Fin Stmt'!D17+'Mkt Val with BOP and required r'!G16)</f>
        <v>-0.80349999999999966</v>
      </c>
      <c r="O16" s="10">
        <f>K16/J16</f>
        <v>5.1974417916562377E-2</v>
      </c>
      <c r="P16" s="12">
        <f>'Fin Stmt'!J37*(O16-$D$8)</f>
        <v>-7.0290833966816084</v>
      </c>
      <c r="S16" s="204"/>
      <c r="T16" s="204"/>
      <c r="U16" s="204"/>
      <c r="V16" s="204"/>
      <c r="W16" s="204"/>
      <c r="X16" s="204"/>
      <c r="Y16" s="20"/>
      <c r="Z16" s="20"/>
    </row>
    <row r="17" spans="1:28" x14ac:dyDescent="0.25">
      <c r="A17">
        <v>1</v>
      </c>
      <c r="B17" s="1">
        <f>B16+1</f>
        <v>2015</v>
      </c>
      <c r="C17" s="9">
        <f>J17*$D$10</f>
        <v>34.887664000000001</v>
      </c>
      <c r="D17" s="9">
        <f>D16*(1+$D$13+D14)</f>
        <v>280.52584000000002</v>
      </c>
      <c r="E17" s="9">
        <f t="shared" ref="E17:E22" si="0">(E$13*$D17)*(1-$E$14)</f>
        <v>226.85851719999999</v>
      </c>
      <c r="F17" s="9">
        <f t="shared" ref="F17:F22" si="1">(F$13*$D17)*(1-$F$14)</f>
        <v>31.798384800000001</v>
      </c>
      <c r="G17" s="9">
        <f t="shared" ref="G17:G22" si="2">G$13*$D17</f>
        <v>4.3023400000000001</v>
      </c>
      <c r="H17" s="17">
        <f>D17-E17-F17-G17</f>
        <v>17.56659800000002</v>
      </c>
      <c r="I17" s="9">
        <f t="shared" ref="I17:I22" si="3">(I$13-$I$14)*C16</f>
        <v>1.8927110183864921</v>
      </c>
      <c r="J17" s="9">
        <f>D17/$I$10</f>
        <v>121.485805</v>
      </c>
      <c r="K17" s="9">
        <f t="shared" ref="K17:K22" si="4">(D17-E17-F17-G17)*(1-$D$6)</f>
        <v>11.593954680000012</v>
      </c>
      <c r="L17" s="9">
        <f>L16*(1+($D$13+D$14))</f>
        <v>69.581225000000018</v>
      </c>
      <c r="M17" s="9">
        <f>M16*(1+($D$13+D$14))</f>
        <v>51.904580000000003</v>
      </c>
      <c r="N17" s="9">
        <f>K17+G17-(L17-L16)-(M17-M16+G17)</f>
        <v>-4.9350320000002057E-2</v>
      </c>
      <c r="O17" s="10">
        <f t="shared" ref="O17:O22" si="5">K17/J17</f>
        <v>9.5434645059972331E-2</v>
      </c>
      <c r="P17" s="12">
        <f>J16*(O17-$D$8)</f>
        <v>-2.6983199999999887</v>
      </c>
      <c r="Q17" s="3"/>
      <c r="R17" s="3"/>
      <c r="Z17" s="32"/>
      <c r="AB17" s="32"/>
    </row>
    <row r="18" spans="1:28" x14ac:dyDescent="0.25">
      <c r="A18">
        <f>A17+1</f>
        <v>2</v>
      </c>
      <c r="B18" s="1">
        <f t="shared" ref="B18:B22" si="6">B17+1</f>
        <v>2016</v>
      </c>
      <c r="C18" s="9">
        <f t="shared" ref="C18:C22" si="7">J18*$D$10</f>
        <v>38.236879744000007</v>
      </c>
      <c r="D18" s="9">
        <f>D17*(1+$D$13+$D$14/2)</f>
        <v>307.45632064000006</v>
      </c>
      <c r="E18" s="9">
        <f t="shared" si="0"/>
        <v>248.63693485120007</v>
      </c>
      <c r="F18" s="9">
        <f t="shared" si="1"/>
        <v>34.851029740800001</v>
      </c>
      <c r="G18" s="9">
        <f t="shared" si="2"/>
        <v>4.7153646400000007</v>
      </c>
      <c r="H18" s="17">
        <f t="shared" ref="H18:H22" si="8">D18-E18-F18-G18</f>
        <v>19.252991407999989</v>
      </c>
      <c r="I18" s="9">
        <f t="shared" si="3"/>
        <v>2.0933383863354602</v>
      </c>
      <c r="J18" s="9">
        <f t="shared" ref="J18:J22" si="9">D18/$I$10</f>
        <v>133.14844228000001</v>
      </c>
      <c r="K18" s="9">
        <f t="shared" si="4"/>
        <v>12.706974329279991</v>
      </c>
      <c r="L18" s="9">
        <f>L17*(1+($D$13+D$14/2))</f>
        <v>76.261022600000018</v>
      </c>
      <c r="M18" s="9">
        <f>M17*(1+($D$13+D$14/2))</f>
        <v>56.887419680000008</v>
      </c>
      <c r="N18" s="9">
        <f>K18+G18-(L18-L17)-(M18-M17+G18)</f>
        <v>1.0443370492799851</v>
      </c>
      <c r="O18" s="10">
        <f t="shared" si="5"/>
        <v>9.5434645059972151E-2</v>
      </c>
      <c r="P18" s="12">
        <f>J17*(O18-$D$8)</f>
        <v>-2.9843419200000096</v>
      </c>
      <c r="Q18" s="3"/>
      <c r="R18" s="3"/>
      <c r="Z18" s="32"/>
      <c r="AB18" s="32"/>
    </row>
    <row r="19" spans="1:28" x14ac:dyDescent="0.25">
      <c r="A19">
        <f t="shared" ref="A19:A21" si="10">A18+1</f>
        <v>3</v>
      </c>
      <c r="B19" s="1">
        <f t="shared" si="6"/>
        <v>2017</v>
      </c>
      <c r="C19" s="9">
        <f t="shared" si="7"/>
        <v>41.525251401984008</v>
      </c>
      <c r="D19" s="9">
        <f>D18*(1+$D$13)</f>
        <v>333.89756421504006</v>
      </c>
      <c r="E19" s="9">
        <f t="shared" si="0"/>
        <v>270.01971124840321</v>
      </c>
      <c r="F19" s="9">
        <f t="shared" si="1"/>
        <v>37.848218298508804</v>
      </c>
      <c r="G19" s="9">
        <f t="shared" si="2"/>
        <v>5.1208859990400004</v>
      </c>
      <c r="H19" s="17">
        <f t="shared" si="8"/>
        <v>20.908748669088048</v>
      </c>
      <c r="I19" s="9">
        <f t="shared" si="3"/>
        <v>2.2942988714236647</v>
      </c>
      <c r="J19" s="9">
        <f t="shared" si="9"/>
        <v>144.59920831608002</v>
      </c>
      <c r="K19" s="9">
        <f t="shared" si="4"/>
        <v>13.79977412159811</v>
      </c>
      <c r="L19" s="9">
        <f>L18*(1+$D$13)</f>
        <v>82.819470543600019</v>
      </c>
      <c r="M19" s="9">
        <f>M18*(1+$D$13)</f>
        <v>61.779737772480011</v>
      </c>
      <c r="N19" s="9">
        <f t="shared" ref="N19:N22" si="11">K19+G19-(L19-L18)-(M19-M18+G19)</f>
        <v>2.3490080855181059</v>
      </c>
      <c r="O19" s="10">
        <f t="shared" si="5"/>
        <v>9.5434645059972428E-2</v>
      </c>
      <c r="P19" s="12">
        <f t="shared" ref="P19:P22" si="12">J18*(O19-$D$8)</f>
        <v>-3.2708387443199736</v>
      </c>
      <c r="Q19" s="3"/>
      <c r="R19" s="3"/>
      <c r="Z19" s="32"/>
      <c r="AB19" s="32"/>
    </row>
    <row r="20" spans="1:28" x14ac:dyDescent="0.25">
      <c r="A20">
        <f t="shared" si="10"/>
        <v>4</v>
      </c>
      <c r="B20" s="1">
        <f t="shared" si="6"/>
        <v>2018</v>
      </c>
      <c r="C20" s="9">
        <f t="shared" si="7"/>
        <v>45.096423022554632</v>
      </c>
      <c r="D20" s="9">
        <f>D19*(1+$D$13)</f>
        <v>362.61275473753352</v>
      </c>
      <c r="E20" s="9">
        <f t="shared" si="0"/>
        <v>293.24140641576588</v>
      </c>
      <c r="F20" s="9">
        <f t="shared" si="1"/>
        <v>41.103165072180559</v>
      </c>
      <c r="G20" s="9">
        <f t="shared" si="2"/>
        <v>5.5612821949574407</v>
      </c>
      <c r="H20" s="17">
        <f t="shared" si="8"/>
        <v>22.70690105462964</v>
      </c>
      <c r="I20" s="9">
        <f t="shared" si="3"/>
        <v>2.4916085743661003</v>
      </c>
      <c r="J20" s="9">
        <f t="shared" si="9"/>
        <v>157.0347402312629</v>
      </c>
      <c r="K20" s="9">
        <f t="shared" si="4"/>
        <v>14.98655469605556</v>
      </c>
      <c r="L20" s="9">
        <f t="shared" ref="L20:L21" si="13">L19*(1+$D$13)</f>
        <v>89.941945010349627</v>
      </c>
      <c r="M20" s="9">
        <f t="shared" ref="M20:M21" si="14">M19*(1+$D$13)</f>
        <v>67.092795220913303</v>
      </c>
      <c r="N20" s="9">
        <f t="shared" si="11"/>
        <v>2.5510227808726587</v>
      </c>
      <c r="O20" s="10">
        <f t="shared" si="5"/>
        <v>9.5434645059972512E-2</v>
      </c>
      <c r="P20" s="12">
        <f t="shared" si="12"/>
        <v>-3.5521308763314798</v>
      </c>
      <c r="Q20" s="3"/>
      <c r="R20" s="3"/>
      <c r="Z20" s="32"/>
      <c r="AB20" s="32"/>
    </row>
    <row r="21" spans="1:28" x14ac:dyDescent="0.25">
      <c r="A21">
        <f t="shared" si="10"/>
        <v>5</v>
      </c>
      <c r="B21" s="1">
        <f t="shared" si="6"/>
        <v>2019</v>
      </c>
      <c r="C21" s="9">
        <f t="shared" si="7"/>
        <v>48.974715402494333</v>
      </c>
      <c r="D21" s="9">
        <f>D20*(1+$D$13)</f>
        <v>393.79745164496143</v>
      </c>
      <c r="E21" s="9">
        <f t="shared" si="0"/>
        <v>318.46016736752182</v>
      </c>
      <c r="F21" s="9">
        <f t="shared" si="1"/>
        <v>44.638037268388096</v>
      </c>
      <c r="G21" s="9">
        <f t="shared" si="2"/>
        <v>6.0395524637237807</v>
      </c>
      <c r="H21" s="17">
        <f t="shared" si="8"/>
        <v>24.659694545327731</v>
      </c>
      <c r="I21" s="9">
        <f t="shared" si="3"/>
        <v>2.7058869117615849</v>
      </c>
      <c r="J21" s="9">
        <f t="shared" si="9"/>
        <v>170.53972789115153</v>
      </c>
      <c r="K21" s="9">
        <f t="shared" si="4"/>
        <v>16.275398399916302</v>
      </c>
      <c r="L21" s="9">
        <f t="shared" si="13"/>
        <v>97.676952281239707</v>
      </c>
      <c r="M21" s="9">
        <f t="shared" si="14"/>
        <v>72.86277560991185</v>
      </c>
      <c r="N21" s="9">
        <f t="shared" si="11"/>
        <v>2.7704107400276747</v>
      </c>
      <c r="O21" s="10">
        <f t="shared" si="5"/>
        <v>9.543464505997229E-2</v>
      </c>
      <c r="P21" s="12">
        <f t="shared" si="12"/>
        <v>-3.8576141316960215</v>
      </c>
      <c r="Q21" s="3"/>
      <c r="R21" s="3"/>
      <c r="Z21" s="32"/>
      <c r="AB21" s="32"/>
    </row>
    <row r="22" spans="1:28" x14ac:dyDescent="0.25">
      <c r="B22" s="1">
        <f t="shared" si="6"/>
        <v>2020</v>
      </c>
      <c r="C22" s="9">
        <f t="shared" si="7"/>
        <v>50.443956864569152</v>
      </c>
      <c r="D22" s="9">
        <f>D21*(1+$D$4)</f>
        <v>405.61137519431026</v>
      </c>
      <c r="E22" s="9">
        <f t="shared" si="0"/>
        <v>328.01397238854747</v>
      </c>
      <c r="F22" s="9">
        <f t="shared" si="1"/>
        <v>45.977178386439732</v>
      </c>
      <c r="G22" s="9">
        <f t="shared" si="2"/>
        <v>6.2207390376354947</v>
      </c>
      <c r="H22" s="17">
        <f t="shared" si="8"/>
        <v>25.399485381687555</v>
      </c>
      <c r="I22" s="9">
        <f t="shared" si="3"/>
        <v>2.938593186173081</v>
      </c>
      <c r="J22" s="9">
        <f t="shared" si="9"/>
        <v>175.65591972788604</v>
      </c>
      <c r="K22" s="9">
        <f t="shared" si="4"/>
        <v>16.763660351913785</v>
      </c>
      <c r="L22" s="9">
        <f t="shared" ref="L22:M22" si="15">L21*(1+$D$4)</f>
        <v>100.6072608496769</v>
      </c>
      <c r="M22" s="9">
        <f t="shared" si="15"/>
        <v>75.04865887820921</v>
      </c>
      <c r="N22" s="9">
        <f t="shared" si="11"/>
        <v>11.647468515179229</v>
      </c>
      <c r="O22" s="10">
        <f t="shared" si="5"/>
        <v>9.5434645059972262E-2</v>
      </c>
      <c r="P22" s="12">
        <f t="shared" si="12"/>
        <v>-4.1893689470218849</v>
      </c>
      <c r="T22" s="22"/>
      <c r="U22" s="22"/>
      <c r="W22" s="22"/>
      <c r="X22" s="22"/>
      <c r="Z22" s="32"/>
      <c r="AB22" s="32"/>
    </row>
    <row r="23" spans="1:28" x14ac:dyDescent="0.25">
      <c r="B23" s="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"/>
      <c r="Q23" s="12"/>
      <c r="R23" s="12"/>
      <c r="S23" s="23"/>
      <c r="T23" s="23"/>
      <c r="U23" s="23"/>
      <c r="V23" s="23"/>
      <c r="W23" s="23"/>
      <c r="X23" s="23"/>
    </row>
    <row r="24" spans="1:28" x14ac:dyDescent="0.25">
      <c r="L24" s="204" t="s">
        <v>137</v>
      </c>
      <c r="M24" s="204"/>
      <c r="N24" s="204"/>
      <c r="O24" s="204"/>
      <c r="P24" s="204"/>
      <c r="Q24" s="204"/>
      <c r="R24" s="140"/>
      <c r="S24" s="140"/>
      <c r="T24" s="140"/>
    </row>
    <row r="25" spans="1:28" ht="18" x14ac:dyDescent="0.35">
      <c r="B25" s="134"/>
      <c r="C25" s="209" t="s">
        <v>138</v>
      </c>
      <c r="D25" s="209"/>
      <c r="E25" s="209"/>
      <c r="F25" s="203" t="s">
        <v>133</v>
      </c>
      <c r="G25" s="203"/>
      <c r="H25" s="203"/>
      <c r="I25" s="206" t="s">
        <v>139</v>
      </c>
      <c r="J25" s="206"/>
      <c r="K25" s="206"/>
      <c r="L25" s="205" t="s">
        <v>140</v>
      </c>
      <c r="M25" s="205"/>
      <c r="N25" s="205"/>
      <c r="O25" s="205" t="s">
        <v>141</v>
      </c>
      <c r="P25" s="205"/>
      <c r="Q25" s="205"/>
      <c r="R25" s="141"/>
      <c r="S25" s="201" t="s">
        <v>211</v>
      </c>
      <c r="T25" s="201"/>
      <c r="U25" s="201"/>
      <c r="V25" s="208" t="s">
        <v>212</v>
      </c>
      <c r="W25" s="208"/>
      <c r="X25" s="208"/>
      <c r="Y25" s="212" t="s">
        <v>212</v>
      </c>
      <c r="Z25" s="212"/>
      <c r="AA25" s="212"/>
    </row>
    <row r="26" spans="1:28" ht="33" x14ac:dyDescent="0.35">
      <c r="B26" s="88" t="s">
        <v>124</v>
      </c>
      <c r="C26" s="15" t="s">
        <v>142</v>
      </c>
      <c r="D26" s="15" t="s">
        <v>143</v>
      </c>
      <c r="E26" s="15" t="s">
        <v>144</v>
      </c>
      <c r="F26" s="28" t="s">
        <v>133</v>
      </c>
      <c r="G26" s="28" t="s">
        <v>145</v>
      </c>
      <c r="H26" s="28" t="s">
        <v>146</v>
      </c>
      <c r="I26" s="88" t="s">
        <v>133</v>
      </c>
      <c r="J26" s="88" t="s">
        <v>147</v>
      </c>
      <c r="K26" s="88" t="s">
        <v>148</v>
      </c>
      <c r="L26" s="33" t="s">
        <v>133</v>
      </c>
      <c r="M26" s="33" t="s">
        <v>149</v>
      </c>
      <c r="N26" s="33" t="s">
        <v>150</v>
      </c>
      <c r="O26" s="33" t="s">
        <v>151</v>
      </c>
      <c r="P26" s="33" t="s">
        <v>152</v>
      </c>
      <c r="Q26" s="33" t="s">
        <v>153</v>
      </c>
      <c r="R26" s="33"/>
      <c r="S26" s="91" t="s">
        <v>133</v>
      </c>
      <c r="T26" s="91" t="s">
        <v>154</v>
      </c>
      <c r="U26" s="91" t="s">
        <v>155</v>
      </c>
      <c r="V26" s="116" t="s">
        <v>133</v>
      </c>
      <c r="W26" s="116" t="s">
        <v>156</v>
      </c>
      <c r="X26" s="116" t="s">
        <v>157</v>
      </c>
      <c r="Y26" s="124" t="s">
        <v>133</v>
      </c>
      <c r="Z26" s="124" t="s">
        <v>158</v>
      </c>
      <c r="AA26" s="124" t="s">
        <v>159</v>
      </c>
    </row>
    <row r="27" spans="1:28" x14ac:dyDescent="0.25">
      <c r="B27" s="135">
        <f>B16</f>
        <v>2014</v>
      </c>
      <c r="C27" s="16">
        <f>P16</f>
        <v>-7.0290833966816084</v>
      </c>
      <c r="D27" s="31"/>
      <c r="E27" s="82"/>
      <c r="F27" s="29">
        <f>N16</f>
        <v>-0.80349999999999966</v>
      </c>
      <c r="G27" s="29"/>
      <c r="H27" s="29"/>
      <c r="I27" s="89">
        <f>N16</f>
        <v>-0.80349999999999966</v>
      </c>
      <c r="J27" s="89"/>
      <c r="K27" s="89"/>
      <c r="L27" s="34">
        <f>N16</f>
        <v>-0.80349999999999966</v>
      </c>
      <c r="M27" s="99"/>
      <c r="N27" s="99"/>
      <c r="O27" s="34">
        <f>I16*$D$7</f>
        <v>1.4824000000000002</v>
      </c>
      <c r="P27" s="99"/>
      <c r="Q27" s="99"/>
      <c r="R27" s="99"/>
      <c r="S27" s="92">
        <f>N16</f>
        <v>-0.80349999999999966</v>
      </c>
      <c r="T27" s="110"/>
      <c r="U27" s="110"/>
      <c r="V27" s="117">
        <f>N16</f>
        <v>-0.80349999999999966</v>
      </c>
      <c r="W27" s="118"/>
      <c r="X27" s="118"/>
      <c r="Y27" s="125">
        <f>N16</f>
        <v>-0.80349999999999966</v>
      </c>
      <c r="Z27" s="126"/>
      <c r="AA27" s="126"/>
    </row>
    <row r="28" spans="1:28" x14ac:dyDescent="0.25">
      <c r="A28">
        <v>1</v>
      </c>
      <c r="B28" s="135">
        <f t="shared" ref="B28:B33" si="16">B17</f>
        <v>2015</v>
      </c>
      <c r="C28" s="16">
        <f t="shared" ref="C28:C33" si="17">P17</f>
        <v>-2.6983199999999887</v>
      </c>
      <c r="D28" s="97">
        <f>C28/((1+$D$8)^A28)</f>
        <v>-2.4092142857142753</v>
      </c>
      <c r="E28" s="97">
        <f>D28</f>
        <v>-2.4092142857142753</v>
      </c>
      <c r="F28" s="29">
        <f t="shared" ref="F28:F33" si="18">N17</f>
        <v>-4.9350320000002057E-2</v>
      </c>
      <c r="G28" s="29">
        <f>F28/((1+$D$8)^$A28)</f>
        <v>-4.4062785714287546E-2</v>
      </c>
      <c r="H28" s="29">
        <f>G28</f>
        <v>-4.4062785714287546E-2</v>
      </c>
      <c r="I28" s="89">
        <f t="shared" ref="I28:I33" si="19">N17</f>
        <v>-4.9350320000002057E-2</v>
      </c>
      <c r="J28" s="89">
        <f>I28/((1+$D$8)^$A28)</f>
        <v>-4.4062785714287546E-2</v>
      </c>
      <c r="K28" s="89">
        <f>J28</f>
        <v>-4.4062785714287546E-2</v>
      </c>
      <c r="L28" s="34">
        <f t="shared" ref="L28:L33" si="20">N17</f>
        <v>-4.9350320000002057E-2</v>
      </c>
      <c r="M28" s="34">
        <f>N17/((1+$H$7)^A17)</f>
        <v>-4.4062785714287546E-2</v>
      </c>
      <c r="N28" s="34">
        <f>M28</f>
        <v>-4.4062785714287546E-2</v>
      </c>
      <c r="O28" s="34">
        <f t="shared" ref="O28:O33" si="21">I17*$D$7</f>
        <v>0.64352174625140734</v>
      </c>
      <c r="P28" s="34">
        <f>O28/((1+$J$7)^A17)</f>
        <v>0.57457298772447074</v>
      </c>
      <c r="Q28" s="34">
        <f>P28</f>
        <v>0.57457298772447074</v>
      </c>
      <c r="R28" s="34"/>
      <c r="S28" s="92">
        <f>N17</f>
        <v>-4.9350320000002057E-2</v>
      </c>
      <c r="T28" s="92">
        <f>S28/((1+$D$8)^A17)</f>
        <v>-4.4062785714287546E-2</v>
      </c>
      <c r="U28" s="92">
        <f>T28</f>
        <v>-4.4062785714287546E-2</v>
      </c>
      <c r="V28" s="117">
        <f>N17</f>
        <v>-4.9350320000002057E-2</v>
      </c>
      <c r="W28" s="117">
        <f>V28/((1+$D$8)^A17)</f>
        <v>-4.4062785714287546E-2</v>
      </c>
      <c r="X28" s="117">
        <f>W28</f>
        <v>-4.4062785714287546E-2</v>
      </c>
      <c r="Y28" s="125">
        <f>N17</f>
        <v>-4.9350320000002057E-2</v>
      </c>
      <c r="Z28" s="125">
        <f>Y28/((1+$D$8)^A17)</f>
        <v>-4.4062785714287546E-2</v>
      </c>
      <c r="AA28" s="125">
        <f>Z28</f>
        <v>-4.4062785714287546E-2</v>
      </c>
    </row>
    <row r="29" spans="1:28" x14ac:dyDescent="0.25">
      <c r="A29">
        <v>2</v>
      </c>
      <c r="B29" s="135">
        <f t="shared" si="16"/>
        <v>2016</v>
      </c>
      <c r="C29" s="16">
        <f t="shared" si="17"/>
        <v>-2.9843419200000096</v>
      </c>
      <c r="D29" s="97">
        <f>C29/((1+$D$8)^A29)</f>
        <v>-2.3790991071428644</v>
      </c>
      <c r="E29" s="97">
        <f>E28+D29</f>
        <v>-4.7883133928571393</v>
      </c>
      <c r="F29" s="29">
        <f t="shared" si="18"/>
        <v>1.0443370492799851</v>
      </c>
      <c r="G29" s="29">
        <f>F29/((1+$D$8)^A29)</f>
        <v>0.83253910178570223</v>
      </c>
      <c r="H29" s="29">
        <f>H28+G29</f>
        <v>0.78847631607141466</v>
      </c>
      <c r="I29" s="89">
        <f t="shared" si="19"/>
        <v>1.0443370492799851</v>
      </c>
      <c r="J29" s="89">
        <f>I29/((1+$D$8)^$A29)</f>
        <v>0.83253910178570223</v>
      </c>
      <c r="K29" s="89">
        <f>K28+J29</f>
        <v>0.78847631607141466</v>
      </c>
      <c r="L29" s="34">
        <f t="shared" si="20"/>
        <v>1.0443370492799851</v>
      </c>
      <c r="M29" s="34">
        <f>N18/((1+$H$7)^A18)</f>
        <v>0.83253910178570223</v>
      </c>
      <c r="N29" s="34">
        <f>N28+M29</f>
        <v>0.78847631607141466</v>
      </c>
      <c r="O29" s="34">
        <f t="shared" si="21"/>
        <v>0.71173505135405657</v>
      </c>
      <c r="P29" s="34">
        <f>O29/((1+$J$7)^A18)</f>
        <v>0.56739082537791496</v>
      </c>
      <c r="Q29" s="34">
        <f>Q28+P29</f>
        <v>1.1419638131023857</v>
      </c>
      <c r="R29" s="34"/>
      <c r="S29" s="92">
        <f t="shared" ref="S29:S33" si="22">N18</f>
        <v>1.0443370492799851</v>
      </c>
      <c r="T29" s="92">
        <f t="shared" ref="T29:T32" si="23">S29/((1+$D$8)^A18)</f>
        <v>0.83253910178570223</v>
      </c>
      <c r="U29" s="92">
        <f>U28+T29</f>
        <v>0.78847631607141466</v>
      </c>
      <c r="V29" s="117">
        <f t="shared" ref="V29:V33" si="24">N18</f>
        <v>1.0443370492799851</v>
      </c>
      <c r="W29" s="117">
        <f t="shared" ref="W29:W32" si="25">V29/((1+$D$8)^A18)</f>
        <v>0.83253910178570223</v>
      </c>
      <c r="X29" s="117">
        <f>X28+W29</f>
        <v>0.78847631607141466</v>
      </c>
      <c r="Y29" s="125">
        <f t="shared" ref="Y29:Y33" si="26">N18</f>
        <v>1.0443370492799851</v>
      </c>
      <c r="Z29" s="125">
        <f t="shared" ref="Z29:Z32" si="27">Y29/((1+$D$8)^A18)</f>
        <v>0.83253910178570223</v>
      </c>
      <c r="AA29" s="125">
        <f>AA28+Z29</f>
        <v>0.78847631607141466</v>
      </c>
    </row>
    <row r="30" spans="1:28" x14ac:dyDescent="0.25">
      <c r="A30">
        <v>3</v>
      </c>
      <c r="B30" s="135">
        <f t="shared" si="16"/>
        <v>2017</v>
      </c>
      <c r="C30" s="16">
        <f t="shared" si="17"/>
        <v>-3.2708387443199736</v>
      </c>
      <c r="D30" s="97">
        <f>C30/((1+$D$8)^A30)</f>
        <v>-2.3281184119897764</v>
      </c>
      <c r="E30" s="97">
        <f t="shared" ref="E30:E32" si="28">E29+D30</f>
        <v>-7.1164318048469157</v>
      </c>
      <c r="F30" s="29">
        <f t="shared" si="18"/>
        <v>2.3490080855181059</v>
      </c>
      <c r="G30" s="29">
        <f>F30/((1+$D$8)^A30)</f>
        <v>1.6719775572257833</v>
      </c>
      <c r="H30" s="29">
        <f t="shared" ref="H30:H32" si="29">H29+G30</f>
        <v>2.4604538732971979</v>
      </c>
      <c r="I30" s="89">
        <f t="shared" si="19"/>
        <v>2.3490080855181059</v>
      </c>
      <c r="J30" s="89">
        <f>I30/((1+$D$8)^$A30)</f>
        <v>1.6719775572257833</v>
      </c>
      <c r="K30" s="89">
        <f t="shared" ref="K30:K32" si="30">K29+J30</f>
        <v>2.4604538732971979</v>
      </c>
      <c r="L30" s="34">
        <f t="shared" si="20"/>
        <v>2.3490080855181059</v>
      </c>
      <c r="M30" s="34">
        <f>N19/((1+$H$7)^A19)</f>
        <v>1.6719775572257833</v>
      </c>
      <c r="N30" s="34">
        <f>N29+M30</f>
        <v>2.4604538732971979</v>
      </c>
      <c r="O30" s="34">
        <f t="shared" si="21"/>
        <v>0.78006161628404602</v>
      </c>
      <c r="P30" s="34">
        <f>O30/((1+$J$7)^A19)</f>
        <v>0.5552324505483881</v>
      </c>
      <c r="Q30" s="34">
        <f t="shared" ref="Q30:Q32" si="31">Q29+P30</f>
        <v>1.6971962636507738</v>
      </c>
      <c r="R30" s="34"/>
      <c r="S30" s="92">
        <f t="shared" si="22"/>
        <v>2.3490080855181059</v>
      </c>
      <c r="T30" s="92">
        <f t="shared" si="23"/>
        <v>1.6719775572257833</v>
      </c>
      <c r="U30" s="92">
        <f>U29+T30</f>
        <v>2.4604538732971979</v>
      </c>
      <c r="V30" s="117">
        <f t="shared" si="24"/>
        <v>2.3490080855181059</v>
      </c>
      <c r="W30" s="117">
        <f t="shared" si="25"/>
        <v>1.6719775572257833</v>
      </c>
      <c r="X30" s="117">
        <f>X29+W30</f>
        <v>2.4604538732971979</v>
      </c>
      <c r="Y30" s="125">
        <f t="shared" si="26"/>
        <v>2.3490080855181059</v>
      </c>
      <c r="Z30" s="125">
        <f t="shared" si="27"/>
        <v>1.6719775572257833</v>
      </c>
      <c r="AA30" s="125">
        <f>AA29+Z30</f>
        <v>2.4604538732971979</v>
      </c>
    </row>
    <row r="31" spans="1:28" x14ac:dyDescent="0.25">
      <c r="A31">
        <v>4</v>
      </c>
      <c r="B31" s="135">
        <f t="shared" si="16"/>
        <v>2018</v>
      </c>
      <c r="C31" s="16">
        <f t="shared" si="17"/>
        <v>-3.5521308763314798</v>
      </c>
      <c r="D31" s="97">
        <f>C31/((1+$D$8)^A31)</f>
        <v>-2.2574433887686509</v>
      </c>
      <c r="E31" s="97">
        <f t="shared" si="28"/>
        <v>-9.3738751936155662</v>
      </c>
      <c r="F31" s="29">
        <f t="shared" si="18"/>
        <v>2.5510227808726587</v>
      </c>
      <c r="G31" s="29">
        <f>F31/((1+$D$8)^A31)</f>
        <v>1.6212210956671407</v>
      </c>
      <c r="H31" s="29">
        <f t="shared" si="29"/>
        <v>4.0816749689643386</v>
      </c>
      <c r="I31" s="89">
        <f t="shared" si="19"/>
        <v>2.5510227808726587</v>
      </c>
      <c r="J31" s="89">
        <f>I31/((1+$D$8)^$A31)</f>
        <v>1.6212210956671407</v>
      </c>
      <c r="K31" s="89">
        <f t="shared" si="30"/>
        <v>4.0816749689643386</v>
      </c>
      <c r="L31" s="34">
        <f t="shared" si="20"/>
        <v>2.5510227808726587</v>
      </c>
      <c r="M31" s="34">
        <f>N20/((1+$H$7)^A20)</f>
        <v>1.6212210956671407</v>
      </c>
      <c r="N31" s="34">
        <f>N30+M31</f>
        <v>4.0816749689643386</v>
      </c>
      <c r="O31" s="34">
        <f t="shared" si="21"/>
        <v>0.84714691528447417</v>
      </c>
      <c r="P31" s="34">
        <f>O31/((1+$J$7)^A20)</f>
        <v>0.53837717972816934</v>
      </c>
      <c r="Q31" s="34">
        <f t="shared" si="31"/>
        <v>2.2355734433789429</v>
      </c>
      <c r="R31" s="34"/>
      <c r="S31" s="92">
        <f t="shared" si="22"/>
        <v>2.5510227808726587</v>
      </c>
      <c r="T31" s="92">
        <f t="shared" si="23"/>
        <v>1.6212210956671407</v>
      </c>
      <c r="U31" s="92">
        <f>U30+T31</f>
        <v>4.0816749689643386</v>
      </c>
      <c r="V31" s="117">
        <f t="shared" si="24"/>
        <v>2.5510227808726587</v>
      </c>
      <c r="W31" s="117">
        <f t="shared" si="25"/>
        <v>1.6212210956671407</v>
      </c>
      <c r="X31" s="117">
        <f>X30+W31</f>
        <v>4.0816749689643386</v>
      </c>
      <c r="Y31" s="125">
        <f t="shared" si="26"/>
        <v>2.5510227808726587</v>
      </c>
      <c r="Z31" s="125">
        <f t="shared" si="27"/>
        <v>1.6212210956671407</v>
      </c>
      <c r="AA31" s="125">
        <f>AA30+Z31</f>
        <v>4.0816749689643386</v>
      </c>
    </row>
    <row r="32" spans="1:28" x14ac:dyDescent="0.25">
      <c r="A32">
        <v>5</v>
      </c>
      <c r="B32" s="135">
        <f t="shared" si="16"/>
        <v>2019</v>
      </c>
      <c r="C32" s="16">
        <f t="shared" si="17"/>
        <v>-3.8576141316960215</v>
      </c>
      <c r="D32" s="97">
        <f>C32/((1+$D$8)^A32)</f>
        <v>-2.1889138573239078</v>
      </c>
      <c r="E32" s="97">
        <f t="shared" si="28"/>
        <v>-11.562789050939474</v>
      </c>
      <c r="F32" s="29">
        <f t="shared" si="18"/>
        <v>2.7704107400276747</v>
      </c>
      <c r="G32" s="29">
        <f>F32/((1+$D$8)^A32)</f>
        <v>1.5720054552629412</v>
      </c>
      <c r="H32" s="29">
        <f t="shared" si="29"/>
        <v>5.6536804242272796</v>
      </c>
      <c r="I32" s="89">
        <f t="shared" si="19"/>
        <v>2.7704107400276747</v>
      </c>
      <c r="J32" s="89">
        <f>I32/((1+$D$8)^$A32)</f>
        <v>1.5720054552629412</v>
      </c>
      <c r="K32" s="89">
        <f t="shared" si="30"/>
        <v>5.6536804242272796</v>
      </c>
      <c r="L32" s="34">
        <f t="shared" si="20"/>
        <v>2.7704107400276747</v>
      </c>
      <c r="M32" s="34">
        <f>N21/((1+$H$7)^A21)</f>
        <v>1.5720054552629412</v>
      </c>
      <c r="N32" s="34">
        <f>N31+M32</f>
        <v>5.6536804242272796</v>
      </c>
      <c r="O32" s="34">
        <f t="shared" si="21"/>
        <v>0.92000154999893891</v>
      </c>
      <c r="P32" s="34">
        <f>O32/((1+$J$7)^A21)</f>
        <v>0.52203358677213552</v>
      </c>
      <c r="Q32" s="34">
        <f t="shared" si="31"/>
        <v>2.7576070301510782</v>
      </c>
      <c r="R32" s="34"/>
      <c r="S32" s="92">
        <f t="shared" si="22"/>
        <v>2.7704107400276747</v>
      </c>
      <c r="T32" s="92">
        <f t="shared" si="23"/>
        <v>1.5720054552629412</v>
      </c>
      <c r="U32" s="92">
        <f>U31+T32</f>
        <v>5.6536804242272796</v>
      </c>
      <c r="V32" s="117">
        <f t="shared" si="24"/>
        <v>2.7704107400276747</v>
      </c>
      <c r="W32" s="117">
        <f t="shared" si="25"/>
        <v>1.5720054552629412</v>
      </c>
      <c r="X32" s="117">
        <f>X31+W32</f>
        <v>5.6536804242272796</v>
      </c>
      <c r="Y32" s="125">
        <f t="shared" si="26"/>
        <v>2.7704107400276747</v>
      </c>
      <c r="Z32" s="125">
        <f t="shared" si="27"/>
        <v>1.5720054552629412</v>
      </c>
      <c r="AA32" s="125">
        <f>AA31+Z32</f>
        <v>5.6536804242272796</v>
      </c>
    </row>
    <row r="33" spans="2:27" x14ac:dyDescent="0.25">
      <c r="B33" s="135">
        <f t="shared" si="16"/>
        <v>2020</v>
      </c>
      <c r="C33" s="16">
        <f t="shared" si="17"/>
        <v>-4.1893689470218849</v>
      </c>
      <c r="D33" s="14"/>
      <c r="F33" s="29">
        <f t="shared" si="18"/>
        <v>11.647468515179229</v>
      </c>
      <c r="G33" s="29"/>
      <c r="H33" s="29"/>
      <c r="I33" s="89">
        <f t="shared" si="19"/>
        <v>11.647468515179229</v>
      </c>
      <c r="J33" s="89"/>
      <c r="K33" s="89"/>
      <c r="L33" s="34">
        <f t="shared" si="20"/>
        <v>11.647468515179229</v>
      </c>
      <c r="M33" s="99"/>
      <c r="N33" s="99"/>
      <c r="O33" s="34">
        <f t="shared" si="21"/>
        <v>0.99912168329884765</v>
      </c>
      <c r="P33" s="99"/>
      <c r="Q33" s="99"/>
      <c r="R33" s="99"/>
      <c r="S33" s="92">
        <f t="shared" si="22"/>
        <v>11.647468515179229</v>
      </c>
      <c r="T33" s="110"/>
      <c r="U33" s="110"/>
      <c r="V33" s="117">
        <f t="shared" si="24"/>
        <v>11.647468515179229</v>
      </c>
      <c r="W33" s="118"/>
      <c r="X33" s="118"/>
      <c r="Y33" s="125">
        <f t="shared" si="26"/>
        <v>11.647468515179229</v>
      </c>
      <c r="Z33" s="126"/>
      <c r="AA33" s="126"/>
    </row>
    <row r="34" spans="2:27" x14ac:dyDescent="0.25">
      <c r="B34" s="13"/>
      <c r="C34" s="13"/>
      <c r="D34" s="13"/>
      <c r="F34" s="30"/>
      <c r="G34" s="30"/>
      <c r="H34" s="30"/>
      <c r="I34" s="90"/>
      <c r="J34" s="90"/>
      <c r="K34" s="90"/>
      <c r="L34" s="24"/>
      <c r="M34" s="24"/>
      <c r="N34" s="24"/>
      <c r="O34" s="24"/>
      <c r="P34" s="24"/>
      <c r="Q34" s="24"/>
      <c r="R34" s="24"/>
      <c r="S34" s="93"/>
      <c r="T34" s="93"/>
      <c r="U34" s="93"/>
      <c r="V34" s="119"/>
      <c r="W34" s="119"/>
      <c r="X34" s="119"/>
      <c r="Y34" s="127"/>
      <c r="Z34" s="127"/>
      <c r="AA34" s="127"/>
    </row>
    <row r="35" spans="2:27" ht="18" x14ac:dyDescent="0.35">
      <c r="B35" s="13"/>
      <c r="D35" s="25" t="s">
        <v>160</v>
      </c>
      <c r="E35" s="103">
        <f>J16</f>
        <v>109.8425</v>
      </c>
      <c r="F35" s="104"/>
      <c r="G35" s="105" t="s">
        <v>145</v>
      </c>
      <c r="H35" s="104">
        <f>H32</f>
        <v>5.6536804242272796</v>
      </c>
      <c r="I35" s="98"/>
      <c r="J35" s="106" t="s">
        <v>161</v>
      </c>
      <c r="K35" s="98">
        <f>K32</f>
        <v>5.6536804242272796</v>
      </c>
      <c r="L35" s="107"/>
      <c r="M35" s="108" t="s">
        <v>149</v>
      </c>
      <c r="N35" s="107">
        <f>N32</f>
        <v>5.6536804242272796</v>
      </c>
      <c r="O35" s="107"/>
      <c r="P35" s="108" t="s">
        <v>162</v>
      </c>
      <c r="Q35" s="107">
        <f>Q32</f>
        <v>2.7576070301510782</v>
      </c>
      <c r="R35" s="107"/>
      <c r="S35" s="207" t="s">
        <v>213</v>
      </c>
      <c r="T35" s="112" t="s">
        <v>163</v>
      </c>
      <c r="U35" s="111">
        <f>U32</f>
        <v>5.6536804242272796</v>
      </c>
      <c r="V35" s="211" t="s">
        <v>164</v>
      </c>
      <c r="W35" s="120" t="s">
        <v>165</v>
      </c>
      <c r="X35" s="121">
        <f>X32</f>
        <v>5.6536804242272796</v>
      </c>
      <c r="Y35" s="213" t="s">
        <v>164</v>
      </c>
      <c r="Z35" s="128" t="s">
        <v>166</v>
      </c>
      <c r="AA35" s="129">
        <f>AA32</f>
        <v>5.6536804242272796</v>
      </c>
    </row>
    <row r="36" spans="2:27" ht="18" x14ac:dyDescent="0.35">
      <c r="D36" s="25" t="s">
        <v>167</v>
      </c>
      <c r="E36" s="103">
        <f>E32</f>
        <v>-11.562789050939474</v>
      </c>
      <c r="F36" s="104"/>
      <c r="G36" s="105" t="s">
        <v>168</v>
      </c>
      <c r="H36" s="104">
        <f>(F33)/(D8-D4)</f>
        <v>129.41631683532478</v>
      </c>
      <c r="I36" s="98"/>
      <c r="J36" s="106" t="s">
        <v>169</v>
      </c>
      <c r="K36" s="98">
        <f>(K22*(1-(D4/O22)))/(D8-D4)</f>
        <v>127.71091955641337</v>
      </c>
      <c r="L36" s="107"/>
      <c r="M36" s="108" t="s">
        <v>170</v>
      </c>
      <c r="N36" s="107">
        <f>(L33)/(D8-D4)</f>
        <v>129.41631683532478</v>
      </c>
      <c r="O36" s="107"/>
      <c r="P36" s="108" t="s">
        <v>171</v>
      </c>
      <c r="Q36" s="107">
        <f>(O33)/(J7-D4)</f>
        <v>11.101352036653862</v>
      </c>
      <c r="R36" s="107"/>
      <c r="S36" s="207"/>
      <c r="T36" s="112" t="s">
        <v>172</v>
      </c>
      <c r="U36" s="113">
        <f>'Fin Stmt'!P44*'Mkt Val with BOP and required r'!H22</f>
        <v>324.1059369516741</v>
      </c>
      <c r="V36" s="211"/>
      <c r="W36" s="120" t="s">
        <v>173</v>
      </c>
      <c r="X36" s="123">
        <f>V37*H22</f>
        <v>380.99228072531332</v>
      </c>
      <c r="Y36" s="213"/>
      <c r="Z36" s="128" t="s">
        <v>174</v>
      </c>
      <c r="AA36" s="130">
        <f>Y37*H22</f>
        <v>507.9897076337511</v>
      </c>
    </row>
    <row r="37" spans="2:27" ht="18" x14ac:dyDescent="0.35">
      <c r="D37" s="25" t="s">
        <v>175</v>
      </c>
      <c r="E37" s="103">
        <f>(J21*(O22-D8))/(D8-D4)</f>
        <v>-46.548543855798719</v>
      </c>
      <c r="F37" s="104"/>
      <c r="G37" s="105" t="s">
        <v>176</v>
      </c>
      <c r="H37" s="104">
        <f>H36/((1+D8)^A32)</f>
        <v>73.434293740550359</v>
      </c>
      <c r="I37" s="98"/>
      <c r="J37" s="106" t="s">
        <v>177</v>
      </c>
      <c r="K37" s="98">
        <f>K36/((1+D8)^A21)</f>
        <v>72.466605524826605</v>
      </c>
      <c r="L37" s="107"/>
      <c r="M37" s="108" t="s">
        <v>178</v>
      </c>
      <c r="N37" s="107">
        <f>N36/((1+H7)^A32)</f>
        <v>73.434293740550359</v>
      </c>
      <c r="O37" s="107"/>
      <c r="P37" s="108" t="s">
        <v>179</v>
      </c>
      <c r="Q37" s="107">
        <f>Q36/((1+J7)^A21)</f>
        <v>6.2992052803837693</v>
      </c>
      <c r="R37" s="107"/>
      <c r="S37" s="153">
        <f>'Fin Stmt'!P44</f>
        <v>12.76033478951298</v>
      </c>
      <c r="T37" s="112" t="s">
        <v>180</v>
      </c>
      <c r="U37" s="111">
        <f>U36/((1+D8)^A21)</f>
        <v>183.906412724219</v>
      </c>
      <c r="V37" s="122">
        <v>15</v>
      </c>
      <c r="W37" s="120" t="s">
        <v>181</v>
      </c>
      <c r="X37" s="121">
        <f>X36/((1+D8)^A21)</f>
        <v>216.18525190502243</v>
      </c>
      <c r="Y37" s="131">
        <v>20</v>
      </c>
      <c r="Z37" s="128" t="s">
        <v>182</v>
      </c>
      <c r="AA37" s="129">
        <f>AA36/((1+D8)^A21)</f>
        <v>288.24700254002988</v>
      </c>
    </row>
    <row r="38" spans="2:27" ht="18" x14ac:dyDescent="0.35">
      <c r="D38" s="25" t="s">
        <v>183</v>
      </c>
      <c r="E38" s="103">
        <f>E37/((1+D8)^A32)</f>
        <v>-26.41289387837519</v>
      </c>
      <c r="F38" s="104"/>
      <c r="G38" s="105" t="s">
        <v>184</v>
      </c>
      <c r="H38" s="104">
        <f>H35+H37</f>
        <v>79.087974164777634</v>
      </c>
      <c r="I38" s="98"/>
      <c r="J38" s="106" t="s">
        <v>185</v>
      </c>
      <c r="K38" s="98">
        <f>K37+K35</f>
        <v>78.12028594905388</v>
      </c>
      <c r="L38" s="107"/>
      <c r="M38" s="108" t="s">
        <v>186</v>
      </c>
      <c r="N38" s="107">
        <f>N35+N37</f>
        <v>79.087974164777634</v>
      </c>
      <c r="O38" s="107"/>
      <c r="P38" s="108" t="s">
        <v>187</v>
      </c>
      <c r="Q38" s="107">
        <f>Q35+Q37</f>
        <v>9.0568123105348484</v>
      </c>
      <c r="R38" s="107"/>
      <c r="S38" s="111"/>
      <c r="T38" s="112" t="s">
        <v>188</v>
      </c>
      <c r="U38" s="111">
        <f>U35+U37</f>
        <v>189.56009314844627</v>
      </c>
      <c r="V38" s="121"/>
      <c r="W38" s="120" t="s">
        <v>189</v>
      </c>
      <c r="X38" s="121">
        <f>X35+X37</f>
        <v>221.8389323292497</v>
      </c>
      <c r="Y38" s="129"/>
      <c r="Z38" s="128" t="s">
        <v>190</v>
      </c>
      <c r="AA38" s="129">
        <f>AA35+AA37</f>
        <v>293.90068296425716</v>
      </c>
    </row>
    <row r="39" spans="2:27" ht="18" x14ac:dyDescent="0.35">
      <c r="D39" s="25" t="s">
        <v>191</v>
      </c>
      <c r="E39" s="103">
        <f>E36+E38+E35</f>
        <v>71.866817070685329</v>
      </c>
      <c r="F39" s="109"/>
      <c r="G39" s="109"/>
      <c r="H39" s="109"/>
      <c r="I39" s="109"/>
      <c r="J39" s="109"/>
      <c r="K39" s="109"/>
      <c r="L39" s="107"/>
      <c r="M39" s="107"/>
      <c r="N39" s="107"/>
      <c r="O39" s="107"/>
      <c r="P39" s="107"/>
      <c r="Q39" s="107"/>
      <c r="R39" s="107"/>
      <c r="S39" s="109"/>
      <c r="T39" s="109"/>
      <c r="U39" s="109"/>
    </row>
    <row r="40" spans="2:27" ht="18" x14ac:dyDescent="0.35">
      <c r="E40" s="109"/>
      <c r="F40" s="109"/>
      <c r="G40" s="109"/>
      <c r="H40" s="109"/>
      <c r="I40" s="109"/>
      <c r="J40" s="109"/>
      <c r="K40" s="109"/>
      <c r="L40" s="107"/>
      <c r="M40" s="107"/>
      <c r="N40" s="108" t="s">
        <v>192</v>
      </c>
      <c r="O40" s="107">
        <f>N38+Q38</f>
        <v>88.144786475312486</v>
      </c>
      <c r="P40" s="107"/>
      <c r="Q40" s="107"/>
      <c r="R40" s="107"/>
      <c r="S40" s="109"/>
      <c r="T40" s="109"/>
      <c r="U40" s="109"/>
    </row>
    <row r="43" spans="2:27" x14ac:dyDescent="0.25">
      <c r="B43">
        <v>1</v>
      </c>
      <c r="C43" t="s">
        <v>195</v>
      </c>
      <c r="H43" s="18"/>
    </row>
    <row r="44" spans="2:27" x14ac:dyDescent="0.25">
      <c r="B44">
        <v>2</v>
      </c>
      <c r="C44" t="s">
        <v>196</v>
      </c>
      <c r="H44" s="18"/>
    </row>
    <row r="45" spans="2:27" x14ac:dyDescent="0.25">
      <c r="H45" s="18"/>
    </row>
  </sheetData>
  <mergeCells count="25">
    <mergeCell ref="B13:C13"/>
    <mergeCell ref="A14:C14"/>
    <mergeCell ref="L24:Q24"/>
    <mergeCell ref="F25:H25"/>
    <mergeCell ref="I25:K25"/>
    <mergeCell ref="L25:N25"/>
    <mergeCell ref="O25:Q25"/>
    <mergeCell ref="C25:E25"/>
    <mergeCell ref="A6:C6"/>
    <mergeCell ref="A7:C7"/>
    <mergeCell ref="A8:C8"/>
    <mergeCell ref="A10:C10"/>
    <mergeCell ref="F10:H10"/>
    <mergeCell ref="A1:Z1"/>
    <mergeCell ref="A4:C4"/>
    <mergeCell ref="F4:H4"/>
    <mergeCell ref="N4:O4"/>
    <mergeCell ref="A5:C5"/>
    <mergeCell ref="V25:X25"/>
    <mergeCell ref="Y25:AA25"/>
    <mergeCell ref="V35:V36"/>
    <mergeCell ref="Y35:Y36"/>
    <mergeCell ref="S16:X16"/>
    <mergeCell ref="S25:U25"/>
    <mergeCell ref="S35:S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B4" sqref="B4"/>
    </sheetView>
  </sheetViews>
  <sheetFormatPr defaultRowHeight="15" x14ac:dyDescent="0.25"/>
  <cols>
    <col min="2" max="3" width="17.7109375" customWidth="1"/>
    <col min="4" max="5" width="15.7109375" customWidth="1"/>
    <col min="6" max="6" width="17.7109375" customWidth="1"/>
  </cols>
  <sheetData>
    <row r="2" spans="2:6" ht="30" x14ac:dyDescent="0.25">
      <c r="B2" s="100" t="s">
        <v>197</v>
      </c>
      <c r="C2" s="81" t="s">
        <v>198</v>
      </c>
      <c r="D2" s="81" t="s">
        <v>199</v>
      </c>
    </row>
    <row r="3" spans="2:6" x14ac:dyDescent="0.25">
      <c r="B3" s="101">
        <v>4290000</v>
      </c>
      <c r="C3" s="80">
        <f>MAX(F9:F16)</f>
        <v>1458600</v>
      </c>
      <c r="D3" s="73">
        <f>C3/B3</f>
        <v>0.34</v>
      </c>
    </row>
    <row r="5" spans="2:6" x14ac:dyDescent="0.25">
      <c r="B5" s="101"/>
      <c r="C5" s="101"/>
      <c r="D5" s="101"/>
      <c r="E5" s="102"/>
      <c r="F5" s="80"/>
    </row>
    <row r="6" spans="2:6" x14ac:dyDescent="0.25">
      <c r="B6" s="101"/>
      <c r="C6" s="101"/>
      <c r="D6" s="101"/>
      <c r="E6" s="101"/>
      <c r="F6" s="101"/>
    </row>
    <row r="7" spans="2:6" ht="30" x14ac:dyDescent="0.25">
      <c r="B7" s="100" t="s">
        <v>200</v>
      </c>
      <c r="C7" s="100" t="s">
        <v>201</v>
      </c>
      <c r="D7" s="100" t="s">
        <v>202</v>
      </c>
      <c r="E7" s="100" t="s">
        <v>203</v>
      </c>
      <c r="F7" s="100" t="s">
        <v>204</v>
      </c>
    </row>
    <row r="9" spans="2:6" x14ac:dyDescent="0.25">
      <c r="B9" s="68">
        <v>0</v>
      </c>
      <c r="C9" s="68">
        <v>50000</v>
      </c>
      <c r="D9">
        <v>0.15</v>
      </c>
      <c r="E9" s="80">
        <f>IF(B3&gt;=C9, C9*D9, B$3*D9)</f>
        <v>7500</v>
      </c>
      <c r="F9" s="80">
        <f>E9</f>
        <v>7500</v>
      </c>
    </row>
    <row r="10" spans="2:6" x14ac:dyDescent="0.25">
      <c r="B10" s="68">
        <v>50001</v>
      </c>
      <c r="C10" s="68">
        <v>75000</v>
      </c>
      <c r="D10">
        <v>0.25</v>
      </c>
      <c r="E10" s="80">
        <f t="shared" ref="E10:E15" si="0">IF(B$3&gt;=C10, ((C10-B10+1)*D10), IF(B$3 &lt; B10, 0, (B$3-B10+1)*D10))</f>
        <v>6250</v>
      </c>
      <c r="F10" s="80">
        <f>F9+E10</f>
        <v>13750</v>
      </c>
    </row>
    <row r="11" spans="2:6" x14ac:dyDescent="0.25">
      <c r="B11" s="68">
        <v>75001</v>
      </c>
      <c r="C11" s="68">
        <v>100000</v>
      </c>
      <c r="D11">
        <v>0.34</v>
      </c>
      <c r="E11" s="80">
        <f t="shared" si="0"/>
        <v>8500</v>
      </c>
      <c r="F11" s="80">
        <f t="shared" ref="F11:F16" si="1">F10+E11</f>
        <v>22250</v>
      </c>
    </row>
    <row r="12" spans="2:6" x14ac:dyDescent="0.25">
      <c r="B12" s="68">
        <v>100001</v>
      </c>
      <c r="C12" s="68">
        <v>335000</v>
      </c>
      <c r="D12">
        <v>0.39</v>
      </c>
      <c r="E12" s="80">
        <f t="shared" si="0"/>
        <v>91650</v>
      </c>
      <c r="F12" s="80">
        <f t="shared" si="1"/>
        <v>113900</v>
      </c>
    </row>
    <row r="13" spans="2:6" x14ac:dyDescent="0.25">
      <c r="B13" s="68">
        <v>335001</v>
      </c>
      <c r="C13" s="68">
        <v>10000000</v>
      </c>
      <c r="D13">
        <v>0.34</v>
      </c>
      <c r="E13" s="80">
        <f t="shared" si="0"/>
        <v>1344700</v>
      </c>
      <c r="F13" s="80">
        <f t="shared" si="1"/>
        <v>1458600</v>
      </c>
    </row>
    <row r="14" spans="2:6" x14ac:dyDescent="0.25">
      <c r="B14" s="68">
        <v>10000001</v>
      </c>
      <c r="C14" s="68">
        <v>15000000</v>
      </c>
      <c r="D14">
        <v>0.35</v>
      </c>
      <c r="E14" s="80">
        <f t="shared" si="0"/>
        <v>0</v>
      </c>
      <c r="F14" s="80">
        <f t="shared" si="1"/>
        <v>1458600</v>
      </c>
    </row>
    <row r="15" spans="2:6" x14ac:dyDescent="0.25">
      <c r="B15" s="68">
        <v>15000001</v>
      </c>
      <c r="C15" s="68">
        <v>18333333</v>
      </c>
      <c r="D15">
        <v>0.38</v>
      </c>
      <c r="E15" s="80">
        <f t="shared" si="0"/>
        <v>0</v>
      </c>
      <c r="F15" s="80">
        <f t="shared" si="1"/>
        <v>1458600</v>
      </c>
    </row>
    <row r="16" spans="2:6" x14ac:dyDescent="0.25">
      <c r="B16" s="68">
        <v>18333334</v>
      </c>
      <c r="D16">
        <v>0.35</v>
      </c>
      <c r="E16" s="80">
        <f>IF(B$3&gt;B16, ((B$3-B16+1)*D16), 0)</f>
        <v>0</v>
      </c>
      <c r="F16" s="80">
        <f t="shared" si="1"/>
        <v>1458600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69"/>
  <sheetViews>
    <sheetView zoomScale="80" zoomScaleNormal="80" workbookViewId="0">
      <selection activeCell="AA55" sqref="AA55"/>
    </sheetView>
  </sheetViews>
  <sheetFormatPr defaultRowHeight="15" x14ac:dyDescent="0.25"/>
  <cols>
    <col min="1" max="1" width="1.7109375" customWidth="1"/>
    <col min="2" max="2" width="2.7109375" customWidth="1"/>
    <col min="3" max="3" width="20.7109375" customWidth="1"/>
    <col min="4" max="6" width="12.7109375" customWidth="1"/>
    <col min="7" max="8" width="2.7109375" customWidth="1"/>
    <col min="9" max="9" width="33.7109375" customWidth="1"/>
    <col min="10" max="10" width="12.7109375" customWidth="1"/>
    <col min="11" max="11" width="15.7109375" customWidth="1"/>
    <col min="12" max="12" width="3.7109375" customWidth="1"/>
    <col min="13" max="13" width="2.7109375" customWidth="1"/>
    <col min="14" max="14" width="30.7109375" customWidth="1"/>
    <col min="15" max="15" width="13.7109375" customWidth="1"/>
    <col min="16" max="16" width="13.28515625" bestFit="1" customWidth="1"/>
  </cols>
  <sheetData>
    <row r="2" spans="2:17" x14ac:dyDescent="0.25">
      <c r="B2" s="195" t="s">
        <v>0</v>
      </c>
      <c r="C2" s="196"/>
      <c r="D2" s="196"/>
      <c r="E2" s="196"/>
      <c r="F2" s="196"/>
      <c r="G2" s="196"/>
      <c r="H2" s="196"/>
      <c r="I2" s="196"/>
      <c r="J2" s="196"/>
      <c r="K2" s="197"/>
      <c r="M2" s="195" t="s">
        <v>0</v>
      </c>
      <c r="N2" s="196"/>
      <c r="O2" s="196"/>
      <c r="P2" s="197"/>
      <c r="Q2" s="27"/>
    </row>
    <row r="3" spans="2:17" x14ac:dyDescent="0.25">
      <c r="B3" s="198" t="s">
        <v>1</v>
      </c>
      <c r="C3" s="199"/>
      <c r="D3" s="199"/>
      <c r="E3" s="199"/>
      <c r="F3" s="199"/>
      <c r="G3" s="199"/>
      <c r="H3" s="199"/>
      <c r="I3" s="199"/>
      <c r="J3" s="199"/>
      <c r="K3" s="200"/>
      <c r="M3" s="198" t="s">
        <v>2</v>
      </c>
      <c r="N3" s="199"/>
      <c r="O3" s="199"/>
      <c r="P3" s="200"/>
      <c r="Q3" s="27"/>
    </row>
    <row r="4" spans="2:17" x14ac:dyDescent="0.25">
      <c r="B4" s="198" t="s">
        <v>3</v>
      </c>
      <c r="C4" s="199"/>
      <c r="D4" s="199"/>
      <c r="E4" s="199"/>
      <c r="F4" s="199"/>
      <c r="G4" s="199"/>
      <c r="H4" s="199"/>
      <c r="I4" s="199"/>
      <c r="J4" s="199"/>
      <c r="K4" s="200"/>
      <c r="M4" s="198" t="s">
        <v>4</v>
      </c>
      <c r="N4" s="199"/>
      <c r="O4" s="199"/>
      <c r="P4" s="199"/>
      <c r="Q4" s="87"/>
    </row>
    <row r="5" spans="2:17" x14ac:dyDescent="0.25">
      <c r="B5" s="37"/>
      <c r="C5" s="38"/>
      <c r="D5" s="38"/>
      <c r="E5" s="38"/>
      <c r="F5" s="38"/>
      <c r="G5" s="38"/>
      <c r="H5" s="38"/>
      <c r="I5" s="38"/>
      <c r="J5" s="38"/>
      <c r="K5" s="39"/>
      <c r="M5" s="37"/>
      <c r="N5" s="38"/>
      <c r="O5" s="38"/>
      <c r="P5" s="38"/>
      <c r="Q5" s="37"/>
    </row>
    <row r="6" spans="2:17" x14ac:dyDescent="0.25">
      <c r="B6" s="37"/>
      <c r="C6" s="38"/>
      <c r="D6" s="40">
        <v>2013</v>
      </c>
      <c r="E6" s="40">
        <v>2014</v>
      </c>
      <c r="F6" s="40"/>
      <c r="G6" s="40"/>
      <c r="H6" s="40"/>
      <c r="I6" s="40"/>
      <c r="J6" s="40">
        <v>2013</v>
      </c>
      <c r="K6" s="41">
        <v>2014</v>
      </c>
      <c r="M6" s="37"/>
      <c r="N6" s="38"/>
      <c r="O6" s="40">
        <v>2013</v>
      </c>
      <c r="P6" s="40">
        <v>2014</v>
      </c>
      <c r="Q6" s="37"/>
    </row>
    <row r="7" spans="2:17" x14ac:dyDescent="0.25">
      <c r="B7" s="37" t="s">
        <v>5</v>
      </c>
      <c r="C7" s="38"/>
      <c r="D7" s="38"/>
      <c r="E7" s="38"/>
      <c r="F7" s="38"/>
      <c r="G7" s="38"/>
      <c r="H7" s="38" t="s">
        <v>6</v>
      </c>
      <c r="I7" s="38"/>
      <c r="J7" s="38"/>
      <c r="K7" s="39"/>
      <c r="M7" s="37" t="s">
        <v>7</v>
      </c>
      <c r="N7" s="38"/>
      <c r="O7" s="38"/>
      <c r="P7" s="38"/>
      <c r="Q7" s="37"/>
    </row>
    <row r="8" spans="2:17" x14ac:dyDescent="0.25">
      <c r="B8" s="37"/>
      <c r="C8" s="42" t="s">
        <v>8</v>
      </c>
      <c r="D8" s="43">
        <v>9.7799999999999994</v>
      </c>
      <c r="E8" s="43">
        <v>7.9329999999999998</v>
      </c>
      <c r="F8" s="43"/>
      <c r="G8" s="42"/>
      <c r="H8" s="42"/>
      <c r="I8" s="42" t="s">
        <v>9</v>
      </c>
      <c r="J8" s="43">
        <v>13.36</v>
      </c>
      <c r="K8" s="44">
        <v>6.6405000000000003</v>
      </c>
      <c r="M8" s="37"/>
      <c r="N8" s="38" t="s">
        <v>10</v>
      </c>
      <c r="O8" s="45">
        <v>234.98</v>
      </c>
      <c r="P8" s="52">
        <v>252.78</v>
      </c>
      <c r="Q8" s="37"/>
    </row>
    <row r="9" spans="2:17" x14ac:dyDescent="0.25">
      <c r="B9" s="37"/>
      <c r="C9" s="42" t="s">
        <v>11</v>
      </c>
      <c r="D9" s="43">
        <v>37.47</v>
      </c>
      <c r="E9" s="43">
        <v>38.909999999999997</v>
      </c>
      <c r="F9" s="43"/>
      <c r="G9" s="42"/>
      <c r="H9" s="42"/>
      <c r="I9" s="42" t="s">
        <v>12</v>
      </c>
      <c r="J9" s="47">
        <v>21.15</v>
      </c>
      <c r="K9" s="48">
        <v>23.93</v>
      </c>
      <c r="M9" s="37"/>
      <c r="N9" t="s">
        <v>13</v>
      </c>
      <c r="O9" s="50">
        <v>0.55000000000000004</v>
      </c>
      <c r="P9" s="55">
        <v>0.86</v>
      </c>
      <c r="Q9" s="37"/>
    </row>
    <row r="10" spans="2:17" x14ac:dyDescent="0.25">
      <c r="B10" s="37"/>
      <c r="C10" s="42" t="s">
        <v>14</v>
      </c>
      <c r="D10" s="47">
        <v>47.7</v>
      </c>
      <c r="E10" s="47">
        <v>46.64</v>
      </c>
      <c r="F10" s="43"/>
      <c r="G10" s="42"/>
      <c r="H10" s="42"/>
      <c r="I10" s="42" t="s">
        <v>15</v>
      </c>
      <c r="J10" s="43">
        <v>34.51</v>
      </c>
      <c r="K10" s="44">
        <v>30.570499999999999</v>
      </c>
      <c r="M10" s="37"/>
      <c r="N10" s="38" t="s">
        <v>16</v>
      </c>
      <c r="O10" s="52">
        <v>235.53</v>
      </c>
      <c r="P10" s="52">
        <v>253.64000000000001</v>
      </c>
      <c r="Q10" s="37"/>
    </row>
    <row r="11" spans="2:17" x14ac:dyDescent="0.25">
      <c r="B11" s="37"/>
      <c r="C11" s="42" t="s">
        <v>17</v>
      </c>
      <c r="D11" s="43">
        <v>94.95</v>
      </c>
      <c r="E11" s="43">
        <v>93.483000000000004</v>
      </c>
      <c r="F11" s="43"/>
      <c r="G11" s="42"/>
      <c r="H11" s="42"/>
      <c r="I11" s="42"/>
      <c r="J11" s="43"/>
      <c r="K11" s="44"/>
      <c r="M11" s="37"/>
      <c r="Q11" s="37"/>
    </row>
    <row r="12" spans="2:17" x14ac:dyDescent="0.25">
      <c r="B12" s="37"/>
      <c r="C12" s="42"/>
      <c r="D12" s="43"/>
      <c r="E12" s="43"/>
      <c r="F12" s="43"/>
      <c r="G12" s="42"/>
      <c r="H12" s="42" t="s">
        <v>18</v>
      </c>
      <c r="I12" s="42"/>
      <c r="J12" s="43"/>
      <c r="K12" s="44"/>
      <c r="M12" s="37" t="s">
        <v>19</v>
      </c>
      <c r="N12" s="38"/>
      <c r="O12" s="45"/>
      <c r="P12" s="45"/>
      <c r="Q12" s="37"/>
    </row>
    <row r="13" spans="2:17" x14ac:dyDescent="0.25">
      <c r="B13" s="37" t="s">
        <v>20</v>
      </c>
      <c r="C13" s="42"/>
      <c r="D13" s="43"/>
      <c r="E13" s="43"/>
      <c r="F13" s="43"/>
      <c r="G13" s="42"/>
      <c r="H13" s="42"/>
      <c r="I13" s="53" t="s">
        <v>21</v>
      </c>
      <c r="J13" s="43">
        <v>0.32</v>
      </c>
      <c r="K13" s="44">
        <v>0.96</v>
      </c>
      <c r="M13" s="37"/>
      <c r="N13" s="38" t="s">
        <v>126</v>
      </c>
      <c r="O13" s="45">
        <v>196.69</v>
      </c>
      <c r="P13" s="52">
        <v>211.46</v>
      </c>
      <c r="Q13" s="37"/>
    </row>
    <row r="14" spans="2:17" x14ac:dyDescent="0.25">
      <c r="B14" s="37"/>
      <c r="C14" s="42" t="s">
        <v>22</v>
      </c>
      <c r="D14" s="43">
        <v>28.13</v>
      </c>
      <c r="E14" s="43">
        <v>32.17</v>
      </c>
      <c r="F14" s="43"/>
      <c r="G14" s="42"/>
      <c r="H14" s="42"/>
      <c r="I14" s="42" t="s">
        <v>23</v>
      </c>
      <c r="J14" s="47">
        <v>26.33</v>
      </c>
      <c r="K14" s="48">
        <v>30.584</v>
      </c>
      <c r="M14" s="37"/>
      <c r="N14" s="38" t="s">
        <v>24</v>
      </c>
      <c r="O14" s="45">
        <v>23.5</v>
      </c>
      <c r="P14" s="52">
        <v>29.64</v>
      </c>
      <c r="Q14" s="37"/>
    </row>
    <row r="15" spans="2:17" x14ac:dyDescent="0.25">
      <c r="B15" s="37"/>
      <c r="C15" s="42" t="s">
        <v>13</v>
      </c>
      <c r="D15" s="42">
        <v>14.76</v>
      </c>
      <c r="E15" s="42">
        <v>14.76</v>
      </c>
      <c r="F15" s="43"/>
      <c r="G15" s="42"/>
      <c r="H15" s="42"/>
      <c r="I15" s="42" t="s">
        <v>15</v>
      </c>
      <c r="J15" s="43">
        <v>26.65</v>
      </c>
      <c r="K15" s="44">
        <v>31.544</v>
      </c>
      <c r="M15" s="37"/>
      <c r="N15" s="38" t="s">
        <v>25</v>
      </c>
      <c r="O15" s="55">
        <v>3.64</v>
      </c>
      <c r="P15" s="84">
        <v>3.89</v>
      </c>
      <c r="Q15" s="37"/>
    </row>
    <row r="16" spans="2:17" x14ac:dyDescent="0.25">
      <c r="B16" s="37"/>
      <c r="C16" s="42"/>
      <c r="D16" s="47"/>
      <c r="E16" s="47"/>
      <c r="F16" s="43"/>
      <c r="G16" s="42"/>
      <c r="H16" s="42"/>
      <c r="I16" s="42"/>
      <c r="J16" s="43"/>
      <c r="K16" s="44"/>
      <c r="M16" s="37"/>
      <c r="N16" s="38" t="s">
        <v>26</v>
      </c>
      <c r="O16" s="52">
        <v>223.82999999999998</v>
      </c>
      <c r="P16" s="52">
        <v>244.99</v>
      </c>
      <c r="Q16" s="37"/>
    </row>
    <row r="17" spans="2:17" x14ac:dyDescent="0.25">
      <c r="B17" s="37"/>
      <c r="C17" s="42" t="s">
        <v>15</v>
      </c>
      <c r="D17" s="43">
        <v>42.89</v>
      </c>
      <c r="E17" s="43">
        <v>46.93</v>
      </c>
      <c r="F17" s="43"/>
      <c r="G17" s="42"/>
      <c r="H17" s="42" t="s">
        <v>27</v>
      </c>
      <c r="I17" s="42"/>
      <c r="J17" s="43"/>
      <c r="K17" s="44"/>
      <c r="M17" s="37"/>
      <c r="Q17" s="37"/>
    </row>
    <row r="18" spans="2:17" x14ac:dyDescent="0.25">
      <c r="B18" s="37"/>
      <c r="C18" s="42"/>
      <c r="D18" s="43"/>
      <c r="E18" s="43"/>
      <c r="F18" s="43"/>
      <c r="G18" s="42"/>
      <c r="H18" s="42"/>
      <c r="I18" s="42" t="s">
        <v>28</v>
      </c>
      <c r="J18" s="43">
        <v>5.44</v>
      </c>
      <c r="K18" s="44">
        <v>5.57</v>
      </c>
      <c r="M18" s="37" t="s">
        <v>29</v>
      </c>
      <c r="N18" s="38"/>
      <c r="O18" s="45">
        <v>11.700000000000017</v>
      </c>
      <c r="P18" s="45">
        <v>8.6500000000000057</v>
      </c>
      <c r="Q18" s="37"/>
    </row>
    <row r="19" spans="2:17" x14ac:dyDescent="0.25">
      <c r="B19" s="37"/>
      <c r="C19" s="56"/>
      <c r="D19" s="56"/>
      <c r="E19" s="56"/>
      <c r="F19" s="56"/>
      <c r="G19" s="42"/>
      <c r="H19" s="42"/>
      <c r="I19" s="42" t="s">
        <v>30</v>
      </c>
      <c r="J19" s="43">
        <v>0.08</v>
      </c>
      <c r="K19" s="44">
        <v>0.09</v>
      </c>
      <c r="M19" s="37"/>
      <c r="N19" s="38"/>
      <c r="O19" s="45"/>
      <c r="P19" s="85"/>
      <c r="Q19" s="37"/>
    </row>
    <row r="20" spans="2:17" x14ac:dyDescent="0.25">
      <c r="B20" s="37"/>
      <c r="F20" s="42"/>
      <c r="G20" s="42"/>
      <c r="H20" s="42"/>
      <c r="I20" s="42" t="s">
        <v>31</v>
      </c>
      <c r="J20" s="47">
        <v>71.16</v>
      </c>
      <c r="K20" s="48">
        <v>72.638800000000003</v>
      </c>
      <c r="M20" s="37" t="s">
        <v>32</v>
      </c>
      <c r="O20" s="49"/>
      <c r="P20" s="52"/>
      <c r="Q20" s="37"/>
    </row>
    <row r="21" spans="2:17" x14ac:dyDescent="0.25">
      <c r="B21" s="37"/>
      <c r="C21" s="53"/>
      <c r="D21" s="56"/>
      <c r="E21" s="56"/>
      <c r="F21" s="56"/>
      <c r="G21" s="42"/>
      <c r="H21" s="42"/>
      <c r="I21" s="42" t="s">
        <v>15</v>
      </c>
      <c r="J21" s="43">
        <v>76.679999999999993</v>
      </c>
      <c r="K21" s="44">
        <v>78.2988</v>
      </c>
      <c r="M21" s="37"/>
      <c r="N21" s="54" t="s">
        <v>33</v>
      </c>
      <c r="O21" s="55">
        <v>3.72</v>
      </c>
      <c r="P21" s="84">
        <v>4.3600000000000003</v>
      </c>
      <c r="Q21" s="37"/>
    </row>
    <row r="22" spans="2:17" x14ac:dyDescent="0.25">
      <c r="B22" s="37"/>
      <c r="C22" s="56"/>
      <c r="D22" s="56"/>
      <c r="E22" s="56"/>
      <c r="F22" s="56"/>
      <c r="G22" s="42"/>
      <c r="H22" s="42"/>
      <c r="I22" s="42"/>
      <c r="J22" s="43"/>
      <c r="K22" s="44"/>
      <c r="M22" s="37"/>
      <c r="N22" s="54" t="s">
        <v>34</v>
      </c>
      <c r="O22" s="45">
        <v>3.72</v>
      </c>
      <c r="P22" s="86">
        <v>4.3600000000000003</v>
      </c>
      <c r="Q22" s="37"/>
    </row>
    <row r="23" spans="2:17" x14ac:dyDescent="0.25">
      <c r="B23" s="57" t="s">
        <v>35</v>
      </c>
      <c r="C23" s="58"/>
      <c r="D23" s="47">
        <v>137.84</v>
      </c>
      <c r="E23" s="47">
        <v>140.41300000000001</v>
      </c>
      <c r="F23" s="47"/>
      <c r="G23" s="58"/>
      <c r="H23" s="58" t="s">
        <v>36</v>
      </c>
      <c r="I23" s="58"/>
      <c r="J23" s="47">
        <v>137.83999999999997</v>
      </c>
      <c r="K23" s="48">
        <v>140.41329999999999</v>
      </c>
      <c r="M23" s="37"/>
      <c r="O23" s="32"/>
      <c r="P23" s="45"/>
      <c r="Q23" s="37"/>
    </row>
    <row r="24" spans="2:17" x14ac:dyDescent="0.25">
      <c r="B24" s="38"/>
      <c r="C24" s="42"/>
      <c r="D24" s="42"/>
      <c r="E24" s="42"/>
      <c r="F24" s="42"/>
      <c r="G24" s="42"/>
      <c r="H24" s="42"/>
      <c r="I24" s="42"/>
      <c r="J24" s="42"/>
      <c r="K24" s="42"/>
      <c r="M24" s="37"/>
      <c r="N24" s="38" t="s">
        <v>37</v>
      </c>
      <c r="O24" s="52">
        <v>7.9800000000000164</v>
      </c>
      <c r="P24" s="52">
        <v>4.2900000000000054</v>
      </c>
      <c r="Q24" s="37"/>
    </row>
    <row r="25" spans="2:17" x14ac:dyDescent="0.25">
      <c r="B25" s="38"/>
      <c r="C25" s="42"/>
      <c r="D25" s="42"/>
      <c r="E25" s="42"/>
      <c r="F25" s="42"/>
      <c r="G25" s="42"/>
      <c r="H25" s="42"/>
      <c r="I25" s="42"/>
      <c r="J25" s="42"/>
      <c r="K25" s="42"/>
      <c r="M25" s="37"/>
      <c r="N25" s="38" t="s">
        <v>38</v>
      </c>
      <c r="O25" s="55">
        <v>2.5535999999999999</v>
      </c>
      <c r="P25" s="84">
        <v>1.3728</v>
      </c>
      <c r="Q25" s="37"/>
    </row>
    <row r="26" spans="2:17" ht="15.75" thickBot="1" x14ac:dyDescent="0.3">
      <c r="B26" s="190" t="s">
        <v>39</v>
      </c>
      <c r="C26" s="191"/>
      <c r="D26" s="191"/>
      <c r="E26" s="191"/>
      <c r="F26" s="191"/>
      <c r="G26" s="191"/>
      <c r="H26" s="191"/>
      <c r="I26" s="191"/>
      <c r="J26" s="191"/>
      <c r="K26" s="192"/>
      <c r="M26" s="37"/>
      <c r="N26" s="38" t="s">
        <v>40</v>
      </c>
      <c r="O26" s="62">
        <v>5.426400000000017</v>
      </c>
      <c r="P26" s="62">
        <v>2.9172000000000056</v>
      </c>
      <c r="Q26" s="37"/>
    </row>
    <row r="27" spans="2:17" ht="15.75" thickTop="1" x14ac:dyDescent="0.25">
      <c r="B27" s="59" t="s">
        <v>41</v>
      </c>
      <c r="C27" s="38"/>
      <c r="D27" s="42"/>
      <c r="E27" s="60">
        <v>2013</v>
      </c>
      <c r="F27" s="60">
        <v>2014</v>
      </c>
      <c r="G27" s="42"/>
      <c r="H27" s="42" t="s">
        <v>42</v>
      </c>
      <c r="I27" s="42"/>
      <c r="J27" s="60">
        <v>2013</v>
      </c>
      <c r="K27" s="61">
        <v>2014</v>
      </c>
      <c r="M27" s="37"/>
      <c r="Q27" s="37"/>
    </row>
    <row r="28" spans="2:17" x14ac:dyDescent="0.25">
      <c r="B28" s="37"/>
      <c r="C28" s="193" t="s">
        <v>43</v>
      </c>
      <c r="D28" s="193"/>
      <c r="E28" s="42">
        <v>0.04</v>
      </c>
      <c r="F28" s="42">
        <v>0.05</v>
      </c>
      <c r="G28" s="42"/>
      <c r="H28" s="42"/>
      <c r="I28" s="42" t="s">
        <v>43</v>
      </c>
      <c r="J28" s="43">
        <v>5.44</v>
      </c>
      <c r="K28" s="44">
        <v>5.57</v>
      </c>
      <c r="M28" s="37"/>
      <c r="Q28" s="37"/>
    </row>
    <row r="29" spans="2:17" x14ac:dyDescent="0.25">
      <c r="B29" s="37"/>
      <c r="C29" s="193" t="s">
        <v>44</v>
      </c>
      <c r="D29" s="193"/>
      <c r="E29" s="42">
        <v>2.5</v>
      </c>
      <c r="F29" s="42">
        <v>2.5</v>
      </c>
      <c r="G29" s="42"/>
      <c r="H29" s="42"/>
      <c r="I29" s="42" t="s">
        <v>44</v>
      </c>
      <c r="J29" s="43">
        <v>12</v>
      </c>
      <c r="K29" s="44">
        <v>11.25</v>
      </c>
      <c r="M29" s="37"/>
      <c r="N29" s="38"/>
      <c r="O29" s="45"/>
      <c r="P29" s="52"/>
      <c r="Q29" s="37"/>
    </row>
    <row r="30" spans="2:17" x14ac:dyDescent="0.25">
      <c r="B30" s="37"/>
      <c r="C30" s="193" t="s">
        <v>45</v>
      </c>
      <c r="D30" s="193"/>
      <c r="E30" s="42">
        <v>0.1</v>
      </c>
      <c r="F30" s="42">
        <v>0.125</v>
      </c>
      <c r="G30" s="42"/>
      <c r="H30" s="42"/>
      <c r="I30" s="42" t="s">
        <v>46</v>
      </c>
      <c r="J30" s="43">
        <v>12.030075187969889</v>
      </c>
      <c r="K30" s="44">
        <v>21.480357877416662</v>
      </c>
      <c r="M30" s="37" t="s">
        <v>47</v>
      </c>
      <c r="N30" s="38"/>
      <c r="O30" s="45"/>
      <c r="P30" s="46"/>
    </row>
    <row r="31" spans="2:17" x14ac:dyDescent="0.25">
      <c r="B31" s="37"/>
      <c r="C31" s="194"/>
      <c r="D31" s="194"/>
      <c r="E31" s="42"/>
      <c r="F31" s="42"/>
      <c r="G31" s="42"/>
      <c r="H31" s="42"/>
      <c r="I31" s="53" t="s">
        <v>48</v>
      </c>
      <c r="J31" s="42">
        <v>0.99750000000000305</v>
      </c>
      <c r="K31" s="63">
        <v>0.52373429084380707</v>
      </c>
      <c r="M31" s="37"/>
      <c r="N31" s="38" t="s">
        <v>49</v>
      </c>
      <c r="O31" s="45">
        <v>1.36</v>
      </c>
      <c r="P31" s="46">
        <v>1.4134</v>
      </c>
    </row>
    <row r="32" spans="2:17" ht="15" customHeight="1" x14ac:dyDescent="0.25">
      <c r="B32" s="59" t="s">
        <v>205</v>
      </c>
      <c r="C32" s="42"/>
      <c r="D32" s="42">
        <v>28.13</v>
      </c>
      <c r="E32" s="42">
        <v>32.17</v>
      </c>
      <c r="F32" s="42"/>
      <c r="G32" s="42"/>
      <c r="H32" s="42"/>
      <c r="I32" s="42" t="s">
        <v>45</v>
      </c>
      <c r="J32" s="43">
        <v>65.28</v>
      </c>
      <c r="K32" s="44">
        <v>62.662500000000001</v>
      </c>
      <c r="M32" s="37"/>
      <c r="N32" s="54" t="s">
        <v>50</v>
      </c>
      <c r="O32" s="45">
        <v>0.02</v>
      </c>
      <c r="P32" s="46">
        <v>2.5000000000000001E-2</v>
      </c>
    </row>
    <row r="33" spans="2:16" x14ac:dyDescent="0.25">
      <c r="B33" s="57"/>
      <c r="C33" s="58"/>
      <c r="D33" s="58"/>
      <c r="E33" s="58"/>
      <c r="F33" s="58"/>
      <c r="G33" s="58"/>
      <c r="H33" s="58"/>
      <c r="I33" s="58"/>
      <c r="J33" s="58"/>
      <c r="K33" s="64"/>
      <c r="M33" s="57"/>
      <c r="N33" s="65" t="s">
        <v>51</v>
      </c>
      <c r="O33" s="55">
        <v>4.0464000000000171</v>
      </c>
      <c r="P33" s="51">
        <v>1.4788000000000057</v>
      </c>
    </row>
    <row r="35" spans="2:16" x14ac:dyDescent="0.25">
      <c r="D35" s="26">
        <v>2013</v>
      </c>
      <c r="E35" s="26">
        <v>2014</v>
      </c>
      <c r="F35" s="26"/>
      <c r="J35" s="26">
        <v>2013</v>
      </c>
      <c r="K35" s="26">
        <v>2014</v>
      </c>
      <c r="P35" s="56"/>
    </row>
    <row r="36" spans="2:16" x14ac:dyDescent="0.25">
      <c r="C36" t="s">
        <v>52</v>
      </c>
      <c r="D36" s="66">
        <v>11.700000000000017</v>
      </c>
      <c r="E36" s="66">
        <v>8.6500000000000057</v>
      </c>
      <c r="F36" s="67"/>
      <c r="I36" t="s">
        <v>53</v>
      </c>
      <c r="J36" s="78">
        <v>7.7044500000000111</v>
      </c>
      <c r="K36" s="78">
        <v>5.7090000000000032</v>
      </c>
      <c r="P36" s="68"/>
    </row>
    <row r="37" spans="2:16" x14ac:dyDescent="0.25">
      <c r="C37" t="s">
        <v>54</v>
      </c>
      <c r="D37" s="66"/>
      <c r="E37" s="66">
        <v>12.540000000000006</v>
      </c>
      <c r="F37" s="67"/>
      <c r="I37" t="s">
        <v>55</v>
      </c>
      <c r="J37" s="56">
        <v>103.32999999999998</v>
      </c>
      <c r="K37" s="56">
        <v>109.8428</v>
      </c>
      <c r="N37" s="189" t="s">
        <v>56</v>
      </c>
      <c r="O37" s="189"/>
      <c r="P37" s="189"/>
    </row>
    <row r="38" spans="2:16" x14ac:dyDescent="0.25">
      <c r="C38" t="s">
        <v>57</v>
      </c>
      <c r="D38" s="66">
        <v>60.440000000000005</v>
      </c>
      <c r="E38" s="66">
        <v>62.912500000000009</v>
      </c>
      <c r="F38" s="67"/>
      <c r="I38" t="s">
        <v>58</v>
      </c>
      <c r="J38" s="56">
        <v>103.33000000000001</v>
      </c>
      <c r="K38" s="56">
        <v>109.8425</v>
      </c>
      <c r="N38" t="s">
        <v>59</v>
      </c>
      <c r="P38" s="70">
        <v>0.31999999999999962</v>
      </c>
    </row>
    <row r="39" spans="2:16" x14ac:dyDescent="0.25">
      <c r="C39" t="s">
        <v>60</v>
      </c>
      <c r="D39" s="66">
        <v>12.786400000000018</v>
      </c>
      <c r="E39" s="66">
        <v>11.167200000000006</v>
      </c>
      <c r="F39" s="67"/>
      <c r="I39" t="s">
        <v>61</v>
      </c>
      <c r="J39" s="70">
        <v>7.4561598761250486E-2</v>
      </c>
      <c r="K39" s="70">
        <v>5.1974275965288606E-2</v>
      </c>
      <c r="N39" t="s">
        <v>62</v>
      </c>
      <c r="O39" s="70">
        <v>0.34150000000000003</v>
      </c>
      <c r="P39" s="70">
        <v>0.34</v>
      </c>
    </row>
    <row r="40" spans="2:16" x14ac:dyDescent="0.25">
      <c r="C40" t="s">
        <v>63</v>
      </c>
      <c r="D40" s="66"/>
      <c r="E40" s="66">
        <v>7.93</v>
      </c>
      <c r="F40" s="67"/>
      <c r="I40" t="s">
        <v>64</v>
      </c>
      <c r="K40" s="56">
        <v>10.402499999999989</v>
      </c>
      <c r="N40" t="s">
        <v>65</v>
      </c>
      <c r="O40" s="70">
        <v>0.34</v>
      </c>
      <c r="P40" s="70">
        <v>0.34</v>
      </c>
    </row>
    <row r="41" spans="2:16" x14ac:dyDescent="0.25">
      <c r="C41" s="71" t="s">
        <v>66</v>
      </c>
      <c r="D41" s="66"/>
      <c r="E41" s="66">
        <v>2.4725000000000037</v>
      </c>
      <c r="F41" s="67"/>
      <c r="I41" s="35" t="s">
        <v>67</v>
      </c>
      <c r="K41" s="3">
        <v>-0.80349999999999966</v>
      </c>
    </row>
    <row r="42" spans="2:16" x14ac:dyDescent="0.25">
      <c r="C42" t="s">
        <v>68</v>
      </c>
      <c r="D42" s="66"/>
      <c r="E42" s="72">
        <v>0.76470000000000304</v>
      </c>
      <c r="F42" s="67"/>
      <c r="I42" t="s">
        <v>69</v>
      </c>
      <c r="K42" s="3">
        <v>-0.80349999999998545</v>
      </c>
    </row>
    <row r="43" spans="2:16" x14ac:dyDescent="0.25">
      <c r="C43" t="s">
        <v>70</v>
      </c>
      <c r="D43" s="66"/>
      <c r="E43" s="72">
        <v>0.76439999999999841</v>
      </c>
      <c r="F43" s="67"/>
      <c r="N43" t="s">
        <v>71</v>
      </c>
      <c r="O43" s="66"/>
      <c r="P43" s="66">
        <v>110.37689592928734</v>
      </c>
    </row>
    <row r="44" spans="2:16" x14ac:dyDescent="0.25">
      <c r="C44" t="s">
        <v>72</v>
      </c>
      <c r="D44" s="66"/>
      <c r="E44" s="66">
        <v>-0.53400000000000158</v>
      </c>
      <c r="F44" s="67"/>
      <c r="I44" t="s">
        <v>73</v>
      </c>
      <c r="J44" s="69"/>
      <c r="K44" s="70">
        <v>0.06</v>
      </c>
      <c r="N44" t="s">
        <v>74</v>
      </c>
      <c r="P44" s="80">
        <v>12.76033478951298</v>
      </c>
    </row>
    <row r="45" spans="2:16" x14ac:dyDescent="0.25">
      <c r="C45" t="s">
        <v>75</v>
      </c>
      <c r="D45" s="66"/>
      <c r="E45" s="66">
        <v>1.2984</v>
      </c>
      <c r="F45" s="67"/>
      <c r="I45" t="s">
        <v>76</v>
      </c>
      <c r="J45" s="74"/>
      <c r="K45" s="115">
        <v>0.2</v>
      </c>
      <c r="P45" s="73"/>
    </row>
    <row r="46" spans="2:16" ht="18" x14ac:dyDescent="0.35">
      <c r="C46" t="s">
        <v>77</v>
      </c>
      <c r="D46" s="70">
        <v>3.9367382472431926E-2</v>
      </c>
      <c r="E46" s="70">
        <v>2.0775854087584519E-2</v>
      </c>
      <c r="F46" s="67"/>
      <c r="I46" t="s">
        <v>78</v>
      </c>
      <c r="K46" s="70">
        <v>6.88E-2</v>
      </c>
      <c r="P46" s="75"/>
    </row>
    <row r="47" spans="2:16" x14ac:dyDescent="0.25">
      <c r="C47" t="s">
        <v>79</v>
      </c>
      <c r="D47" s="70">
        <v>7.0766823161189582E-2</v>
      </c>
      <c r="E47" s="70">
        <v>3.7257275973578211E-2</v>
      </c>
      <c r="F47" s="70"/>
      <c r="I47" t="s">
        <v>80</v>
      </c>
      <c r="J47" s="70">
        <v>0.18</v>
      </c>
      <c r="K47" s="70">
        <v>7.0000000000000007E-2</v>
      </c>
      <c r="P47" s="73"/>
    </row>
    <row r="48" spans="2:16" x14ac:dyDescent="0.25">
      <c r="C48" t="s">
        <v>81</v>
      </c>
      <c r="D48" s="70">
        <v>2.3039103298942883E-2</v>
      </c>
      <c r="E48" s="70">
        <v>1.1501340482573747E-2</v>
      </c>
      <c r="F48" s="70"/>
      <c r="I48" t="s">
        <v>82</v>
      </c>
      <c r="J48" s="70">
        <v>0.04</v>
      </c>
      <c r="K48" s="70">
        <v>0.04</v>
      </c>
      <c r="P48" s="73"/>
    </row>
    <row r="49" spans="3:17" x14ac:dyDescent="0.25">
      <c r="C49" t="s">
        <v>83</v>
      </c>
      <c r="D49" s="36">
        <v>1.7087202553685432</v>
      </c>
      <c r="E49" s="36">
        <v>1.8063854486407953</v>
      </c>
      <c r="F49" s="70"/>
      <c r="I49" t="s">
        <v>84</v>
      </c>
      <c r="J49">
        <v>1.3</v>
      </c>
      <c r="K49" s="36">
        <v>0.96</v>
      </c>
      <c r="P49" s="73"/>
    </row>
    <row r="50" spans="3:17" x14ac:dyDescent="0.25">
      <c r="C50" t="s">
        <v>85</v>
      </c>
      <c r="D50" s="66">
        <v>1.7976004173187274</v>
      </c>
      <c r="E50" s="66">
        <v>1.7932969598512367</v>
      </c>
      <c r="F50" s="36"/>
      <c r="P50" s="3"/>
    </row>
    <row r="51" spans="3:17" x14ac:dyDescent="0.25">
      <c r="C51" t="s">
        <v>86</v>
      </c>
      <c r="D51" s="70">
        <v>7.0766823161189582E-2</v>
      </c>
      <c r="E51" s="70">
        <v>3.7257275973578211E-2</v>
      </c>
      <c r="F51" s="66"/>
      <c r="I51" s="189" t="s">
        <v>87</v>
      </c>
      <c r="J51" s="189"/>
      <c r="K51" s="189"/>
      <c r="P51" s="66"/>
    </row>
    <row r="52" spans="3:17" x14ac:dyDescent="0.25">
      <c r="C52" t="s">
        <v>88</v>
      </c>
      <c r="D52" s="70">
        <v>7.0766823161189582E-2</v>
      </c>
      <c r="E52" s="70">
        <v>3.7257275973578211E-2</v>
      </c>
      <c r="F52" s="70"/>
      <c r="I52" t="s">
        <v>89</v>
      </c>
      <c r="K52" s="70">
        <v>0.14000000000000001</v>
      </c>
      <c r="P52" s="3"/>
    </row>
    <row r="53" spans="3:17" x14ac:dyDescent="0.25">
      <c r="C53" t="s">
        <v>90</v>
      </c>
      <c r="D53" s="70">
        <v>0.25062656641603931</v>
      </c>
      <c r="E53" s="70">
        <v>0.48450569038804242</v>
      </c>
      <c r="F53" s="70"/>
      <c r="I53" t="s">
        <v>91</v>
      </c>
      <c r="K53" s="70">
        <v>0.06</v>
      </c>
    </row>
    <row r="54" spans="3:17" x14ac:dyDescent="0.25">
      <c r="C54" t="s">
        <v>92</v>
      </c>
      <c r="D54" s="70">
        <v>0.74568774878372479</v>
      </c>
      <c r="E54" s="70">
        <v>0.50692444810091963</v>
      </c>
      <c r="F54" s="76"/>
      <c r="I54" s="35" t="s">
        <v>93</v>
      </c>
      <c r="K54" s="35">
        <v>2</v>
      </c>
    </row>
    <row r="55" spans="3:17" x14ac:dyDescent="0.25">
      <c r="C55" t="s">
        <v>94</v>
      </c>
      <c r="D55" s="70">
        <v>3.0243599095921007E-2</v>
      </c>
      <c r="E55" s="70">
        <v>1.0643887538129599E-2</v>
      </c>
      <c r="F55" s="3"/>
      <c r="I55" t="s">
        <v>95</v>
      </c>
      <c r="K55">
        <v>15</v>
      </c>
      <c r="Q55" s="77"/>
    </row>
    <row r="56" spans="3:17" x14ac:dyDescent="0.25">
      <c r="C56" t="s">
        <v>96</v>
      </c>
      <c r="D56" s="70">
        <v>5.5709754163362657E-2</v>
      </c>
      <c r="E56" s="70">
        <v>1.9250195261650688E-2</v>
      </c>
      <c r="F56" s="3"/>
      <c r="I56" t="s">
        <v>97</v>
      </c>
      <c r="K56">
        <v>30</v>
      </c>
    </row>
    <row r="57" spans="3:17" x14ac:dyDescent="0.25">
      <c r="F57" s="3"/>
      <c r="I57" t="s">
        <v>98</v>
      </c>
      <c r="K57">
        <v>1000</v>
      </c>
    </row>
    <row r="58" spans="3:17" x14ac:dyDescent="0.25">
      <c r="I58" t="s">
        <v>99</v>
      </c>
      <c r="K58">
        <v>70</v>
      </c>
    </row>
    <row r="59" spans="3:17" x14ac:dyDescent="0.25">
      <c r="I59" t="s">
        <v>100</v>
      </c>
      <c r="K59" s="79">
        <v>1784.0176539787908</v>
      </c>
    </row>
    <row r="60" spans="3:17" x14ac:dyDescent="0.25">
      <c r="I60" t="s">
        <v>101</v>
      </c>
      <c r="K60" s="67">
        <v>30584</v>
      </c>
    </row>
    <row r="61" spans="3:17" x14ac:dyDescent="0.25">
      <c r="I61" t="s">
        <v>102</v>
      </c>
      <c r="K61" s="80">
        <v>54562395.929287337</v>
      </c>
    </row>
    <row r="63" spans="3:17" x14ac:dyDescent="0.25">
      <c r="J63" s="81" t="s">
        <v>103</v>
      </c>
      <c r="K63" s="81" t="s">
        <v>104</v>
      </c>
    </row>
    <row r="64" spans="3:17" x14ac:dyDescent="0.25">
      <c r="I64" t="s">
        <v>105</v>
      </c>
      <c r="J64" s="56">
        <v>55.522395929287335</v>
      </c>
      <c r="K64" s="70">
        <v>0.46929629591148087</v>
      </c>
    </row>
    <row r="65" spans="9:11" x14ac:dyDescent="0.25">
      <c r="I65" t="s">
        <v>106</v>
      </c>
      <c r="J65" s="56">
        <v>62.662500000000001</v>
      </c>
      <c r="K65" s="70">
        <v>0.52964715679787899</v>
      </c>
    </row>
    <row r="66" spans="9:11" x14ac:dyDescent="0.25">
      <c r="I66" t="s">
        <v>107</v>
      </c>
      <c r="J66" s="58">
        <v>0.125</v>
      </c>
      <c r="K66" s="70">
        <v>1.0565472906400937E-3</v>
      </c>
    </row>
    <row r="67" spans="9:11" x14ac:dyDescent="0.25">
      <c r="I67" t="s">
        <v>15</v>
      </c>
      <c r="J67" s="56">
        <v>118.30989592928734</v>
      </c>
      <c r="K67" s="66">
        <v>1</v>
      </c>
    </row>
    <row r="69" spans="9:11" x14ac:dyDescent="0.25">
      <c r="I69" t="s">
        <v>108</v>
      </c>
      <c r="J69" s="70">
        <v>5.5235167163916743E-2</v>
      </c>
    </row>
  </sheetData>
  <mergeCells count="13">
    <mergeCell ref="I51:K51"/>
    <mergeCell ref="B26:K26"/>
    <mergeCell ref="C28:D28"/>
    <mergeCell ref="C29:D29"/>
    <mergeCell ref="C30:D30"/>
    <mergeCell ref="C31:D31"/>
    <mergeCell ref="N37:P37"/>
    <mergeCell ref="B2:K2"/>
    <mergeCell ref="M2:P2"/>
    <mergeCell ref="B3:K3"/>
    <mergeCell ref="M3:P3"/>
    <mergeCell ref="B4:K4"/>
    <mergeCell ref="M4:P4"/>
  </mergeCells>
  <pageMargins left="0.7" right="0.7" top="0.75" bottom="0.75" header="0.3" footer="0.3"/>
  <pageSetup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A22" zoomScaleNormal="100" workbookViewId="0">
      <selection activeCell="A34" sqref="A34:A38"/>
    </sheetView>
  </sheetViews>
  <sheetFormatPr defaultRowHeight="15" x14ac:dyDescent="0.25"/>
  <cols>
    <col min="2" max="2" width="7.7109375" customWidth="1"/>
    <col min="3" max="3" width="10.140625" bestFit="1" customWidth="1"/>
    <col min="4" max="4" width="12.85546875" bestFit="1" customWidth="1"/>
    <col min="5" max="5" width="10.28515625" bestFit="1" customWidth="1"/>
    <col min="6" max="6" width="10.7109375" customWidth="1"/>
    <col min="7" max="7" width="10.28515625" bestFit="1" customWidth="1"/>
    <col min="8" max="8" width="10.7109375" customWidth="1"/>
    <col min="9" max="9" width="7.140625" bestFit="1" customWidth="1"/>
    <col min="10" max="10" width="7.7109375" customWidth="1"/>
    <col min="11" max="14" width="10.7109375" customWidth="1"/>
    <col min="15" max="15" width="9.5703125" bestFit="1" customWidth="1"/>
    <col min="16" max="16" width="7.5703125" bestFit="1" customWidth="1"/>
    <col min="17" max="17" width="7.5703125" customWidth="1"/>
    <col min="18" max="18" width="6.7109375" customWidth="1"/>
    <col min="19" max="19" width="8" bestFit="1" customWidth="1"/>
    <col min="20" max="20" width="8.7109375" bestFit="1" customWidth="1"/>
    <col min="21" max="21" width="8.7109375" customWidth="1"/>
    <col min="22" max="23" width="10.7109375" customWidth="1"/>
    <col min="24" max="24" width="9.5703125" bestFit="1" customWidth="1"/>
    <col min="25" max="25" width="6.7109375" customWidth="1"/>
    <col min="26" max="28" width="8" bestFit="1" customWidth="1"/>
    <col min="31" max="31" width="10.7109375" customWidth="1"/>
  </cols>
  <sheetData>
    <row r="1" spans="2:29" ht="18.75" x14ac:dyDescent="0.3">
      <c r="B1" s="151" t="s">
        <v>234</v>
      </c>
    </row>
    <row r="2" spans="2:29" ht="31.5" x14ac:dyDescent="0.35">
      <c r="B2" t="s">
        <v>235</v>
      </c>
      <c r="I2" s="70">
        <v>0.02</v>
      </c>
      <c r="K2" s="226" t="s">
        <v>124</v>
      </c>
      <c r="L2" s="226"/>
      <c r="M2" s="226"/>
      <c r="N2" s="160" t="s">
        <v>105</v>
      </c>
      <c r="O2" s="160" t="s">
        <v>125</v>
      </c>
      <c r="P2" s="160" t="s">
        <v>126</v>
      </c>
      <c r="Q2" s="160" t="s">
        <v>217</v>
      </c>
      <c r="R2" s="160" t="s">
        <v>128</v>
      </c>
      <c r="S2" s="160" t="s">
        <v>52</v>
      </c>
      <c r="T2" s="160" t="s">
        <v>214</v>
      </c>
      <c r="U2" s="160" t="s">
        <v>215</v>
      </c>
      <c r="V2" s="160" t="s">
        <v>131</v>
      </c>
      <c r="W2" s="19" t="s">
        <v>57</v>
      </c>
      <c r="X2" s="7" t="s">
        <v>132</v>
      </c>
      <c r="Y2" s="160" t="s">
        <v>133</v>
      </c>
      <c r="Z2" s="160" t="s">
        <v>206</v>
      </c>
      <c r="AA2" s="160" t="s">
        <v>134</v>
      </c>
      <c r="AB2" s="160" t="s">
        <v>135</v>
      </c>
    </row>
    <row r="3" spans="2:29" x14ac:dyDescent="0.25">
      <c r="B3" s="215" t="s">
        <v>229</v>
      </c>
      <c r="C3" s="215"/>
      <c r="D3" s="215"/>
      <c r="E3" s="215"/>
      <c r="F3" s="215"/>
      <c r="G3" s="215"/>
      <c r="H3" s="215"/>
      <c r="I3" s="227">
        <v>0.02</v>
      </c>
      <c r="K3" s="83"/>
      <c r="L3">
        <v>0</v>
      </c>
      <c r="M3">
        <f>'Mkt Val with BOP and required r'!B16</f>
        <v>2014</v>
      </c>
      <c r="N3">
        <f>'Mkt Val without BOP'!C15</f>
        <v>31.544</v>
      </c>
      <c r="O3" s="156">
        <f>'Mkt Val without BOP'!D15</f>
        <v>253.64000000000001</v>
      </c>
      <c r="P3" s="156">
        <f>'Mkt Val without BOP'!E15</f>
        <v>211.46</v>
      </c>
      <c r="Q3" s="156">
        <f>'Mkt Val without BOP'!F15</f>
        <v>29.64</v>
      </c>
      <c r="R3" s="156">
        <f>'Mkt Val without BOP'!G15</f>
        <v>3.89</v>
      </c>
      <c r="S3" s="156">
        <f>'Mkt Val without BOP'!H15</f>
        <v>8.6500000000000057</v>
      </c>
      <c r="T3" s="156">
        <f>'Mkt Val without BOP'!I15</f>
        <v>4.3600000000000003</v>
      </c>
      <c r="U3" s="156">
        <f>'Mkt Val without BOP'!J15</f>
        <v>109.8425</v>
      </c>
      <c r="V3" s="156">
        <f>'Mkt Val without BOP'!K15</f>
        <v>5.7090000000000032</v>
      </c>
      <c r="W3" s="156">
        <f>'Mkt Val without BOP'!L15</f>
        <v>62.912500000000009</v>
      </c>
      <c r="X3" s="172">
        <f>'Mkt Val without BOP'!M15</f>
        <v>46.93</v>
      </c>
      <c r="Y3" s="156">
        <f>'Mkt Val without BOP'!N15</f>
        <v>-0.80349999999999966</v>
      </c>
      <c r="Z3" s="162">
        <f>'Mkt Val without BOP'!O26</f>
        <v>1.4824000000000002</v>
      </c>
      <c r="AA3" s="156">
        <f>'Mkt Val without BOP'!O15</f>
        <v>5.1974417916562377E-2</v>
      </c>
      <c r="AB3" s="156">
        <f>'Mkt Val without BOP'!P15</f>
        <v>-0.33693321972912671</v>
      </c>
    </row>
    <row r="4" spans="2:29" x14ac:dyDescent="0.25">
      <c r="B4" s="215"/>
      <c r="C4" s="215"/>
      <c r="D4" s="215"/>
      <c r="E4" s="215"/>
      <c r="F4" s="215"/>
      <c r="G4" s="215"/>
      <c r="H4" s="215"/>
      <c r="I4" s="227"/>
      <c r="L4">
        <f>L3+1</f>
        <v>1</v>
      </c>
      <c r="M4">
        <f>'Mkt Val with BOP and required r'!B17</f>
        <v>2015</v>
      </c>
      <c r="N4" s="32">
        <f>'Mkt Val without BOP'!C16</f>
        <v>34.256784000000003</v>
      </c>
      <c r="O4" s="32">
        <f>'Mkt Val without BOP'!D16</f>
        <v>275.45304000000004</v>
      </c>
      <c r="P4" s="32">
        <f>'Mkt Val without BOP'!E16</f>
        <v>229.64556000000005</v>
      </c>
      <c r="Q4" s="32">
        <f>'Mkt Val without BOP'!F16</f>
        <v>32.189040000000006</v>
      </c>
      <c r="R4" s="32">
        <f>'Mkt Val without BOP'!G16</f>
        <v>4.2245400000000002</v>
      </c>
      <c r="S4" s="32">
        <f>'Mkt Val without BOP'!H16</f>
        <v>9.3938999999999915</v>
      </c>
      <c r="T4" s="32">
        <f>'Mkt Val without BOP'!I16</f>
        <v>5.1606694183864921</v>
      </c>
      <c r="U4" s="32">
        <f>'Mkt Val without BOP'!J16</f>
        <v>119.288955</v>
      </c>
      <c r="V4" s="32">
        <f>'Mkt Val without BOP'!K16</f>
        <v>6.1999739999999939</v>
      </c>
      <c r="W4" s="32">
        <f>'Mkt Val without BOP'!L16</f>
        <v>68.322975000000014</v>
      </c>
      <c r="X4" s="173">
        <f>'Mkt Val without BOP'!M16</f>
        <v>50.965980000000002</v>
      </c>
      <c r="Y4" s="32">
        <f>'Mkt Val without BOP'!N16</f>
        <v>-3.2464810000000135</v>
      </c>
      <c r="Z4" s="162">
        <f>'Mkt Val without BOP'!O27</f>
        <v>1.7546276022514073</v>
      </c>
      <c r="AA4" s="32">
        <f>'Mkt Val without BOP'!O16</f>
        <v>5.19744179165623E-2</v>
      </c>
      <c r="AB4" s="32">
        <f>'Mkt Val without BOP'!P16</f>
        <v>-0.35816884920253039</v>
      </c>
    </row>
    <row r="5" spans="2:29" x14ac:dyDescent="0.25">
      <c r="B5" s="215" t="s">
        <v>230</v>
      </c>
      <c r="C5" s="215"/>
      <c r="D5" s="215"/>
      <c r="E5" s="215"/>
      <c r="F5" s="215"/>
      <c r="G5" s="215"/>
      <c r="H5" s="215"/>
      <c r="I5" s="227">
        <v>0.01</v>
      </c>
      <c r="L5">
        <f t="shared" ref="L5:L8" si="0">L4+1</f>
        <v>2</v>
      </c>
      <c r="M5">
        <f>'Mkt Val with BOP and required r'!B18</f>
        <v>2016</v>
      </c>
      <c r="N5" s="32">
        <f>'Mkt Val without BOP'!C17</f>
        <v>37.202867423999997</v>
      </c>
      <c r="O5" s="32">
        <f>'Mkt Val without BOP'!D17</f>
        <v>299.14200144000006</v>
      </c>
      <c r="P5" s="32">
        <f>'Mkt Val without BOP'!E17</f>
        <v>249.39507816000005</v>
      </c>
      <c r="Q5" s="32">
        <f>'Mkt Val without BOP'!F17</f>
        <v>34.957297440000005</v>
      </c>
      <c r="R5" s="32">
        <f>'Mkt Val without BOP'!G17</f>
        <v>4.5878504400000004</v>
      </c>
      <c r="S5" s="32">
        <f>'Mkt Val without BOP'!H17</f>
        <v>10.201775399999999</v>
      </c>
      <c r="T5" s="32">
        <f>'Mkt Val without BOP'!I17</f>
        <v>5.6044869883677313</v>
      </c>
      <c r="U5" s="32">
        <f>'Mkt Val without BOP'!J17</f>
        <v>129.54780513</v>
      </c>
      <c r="V5" s="32">
        <f>'Mkt Val without BOP'!K17</f>
        <v>6.7331717639999988</v>
      </c>
      <c r="W5" s="32">
        <f>'Mkt Val without BOP'!L17</f>
        <v>74.198750850000025</v>
      </c>
      <c r="X5" s="173">
        <f>'Mkt Val without BOP'!M17</f>
        <v>55.349054280000004</v>
      </c>
      <c r="Y5" s="32">
        <f>'Mkt Val without BOP'!N17</f>
        <v>-3.5256783660000153</v>
      </c>
      <c r="Z5" s="162">
        <f>'Mkt Val without BOP'!O28</f>
        <v>1.9055255760450287</v>
      </c>
      <c r="AA5" s="32">
        <f>'Mkt Val without BOP'!O17</f>
        <v>5.1974417916562342E-2</v>
      </c>
      <c r="AB5" s="32">
        <f>'Mkt Val without BOP'!P17</f>
        <v>-0.42242290807406213</v>
      </c>
    </row>
    <row r="6" spans="2:29" x14ac:dyDescent="0.25">
      <c r="B6" s="215"/>
      <c r="C6" s="215"/>
      <c r="D6" s="215"/>
      <c r="E6" s="215"/>
      <c r="F6" s="215"/>
      <c r="G6" s="215"/>
      <c r="H6" s="215"/>
      <c r="I6" s="227"/>
      <c r="L6">
        <f t="shared" si="0"/>
        <v>3</v>
      </c>
      <c r="M6">
        <f>'Mkt Val with BOP and required r'!B19</f>
        <v>2017</v>
      </c>
      <c r="N6" s="32">
        <f>'Mkt Val without BOP'!C18</f>
        <v>40.402314022464004</v>
      </c>
      <c r="O6" s="32">
        <f>'Mkt Val without BOP'!D18</f>
        <v>324.86821356384007</v>
      </c>
      <c r="P6" s="32">
        <f>'Mkt Val without BOP'!E18</f>
        <v>270.84305488176005</v>
      </c>
      <c r="Q6" s="32">
        <f>'Mkt Val without BOP'!F18</f>
        <v>37.963625019840009</v>
      </c>
      <c r="R6" s="32">
        <f>'Mkt Val without BOP'!G18</f>
        <v>4.9824055778400007</v>
      </c>
      <c r="S6" s="32">
        <f>'Mkt Val without BOP'!H18</f>
        <v>11.079128084400008</v>
      </c>
      <c r="T6" s="32">
        <f>'Mkt Val without BOP'!I18</f>
        <v>6.0864728693673547</v>
      </c>
      <c r="U6" s="32">
        <f>'Mkt Val without BOP'!J18</f>
        <v>140.68891637118003</v>
      </c>
      <c r="V6" s="32">
        <f>'Mkt Val without BOP'!K18</f>
        <v>7.3122245357040043</v>
      </c>
      <c r="W6" s="32">
        <f>'Mkt Val without BOP'!L18</f>
        <v>80.57984342310003</v>
      </c>
      <c r="X6" s="173">
        <f>'Mkt Val without BOP'!M18</f>
        <v>60.109072948080012</v>
      </c>
      <c r="Y6" s="32">
        <f>'Mkt Val without BOP'!N18</f>
        <v>-3.828886705476009</v>
      </c>
      <c r="Z6" s="162">
        <f>'Mkt Val without BOP'!O29</f>
        <v>2.0694007755849007</v>
      </c>
      <c r="AA6" s="32">
        <f>'Mkt Val without BOP'!O18</f>
        <v>5.197441791656237E-2</v>
      </c>
      <c r="AB6" s="32">
        <f>'Mkt Val without BOP'!P18</f>
        <v>-0.45875127816842765</v>
      </c>
    </row>
    <row r="7" spans="2:29" x14ac:dyDescent="0.25">
      <c r="B7" s="215" t="s">
        <v>231</v>
      </c>
      <c r="C7" s="215"/>
      <c r="D7" s="215"/>
      <c r="E7" s="215"/>
      <c r="F7" s="215"/>
      <c r="G7" s="215"/>
      <c r="H7" s="215"/>
      <c r="I7" s="216">
        <v>2</v>
      </c>
      <c r="L7">
        <f t="shared" si="0"/>
        <v>4</v>
      </c>
      <c r="M7">
        <f>'Mkt Val with BOP and required r'!B20</f>
        <v>2018</v>
      </c>
      <c r="N7" s="32">
        <f>'Mkt Val without BOP'!C19</f>
        <v>43.876913028395911</v>
      </c>
      <c r="O7" s="32">
        <f>'Mkt Val without BOP'!D19</f>
        <v>352.80687993033035</v>
      </c>
      <c r="P7" s="32">
        <f>'Mkt Val without BOP'!E19</f>
        <v>294.13555760159147</v>
      </c>
      <c r="Q7" s="32">
        <f>'Mkt Val without BOP'!F19</f>
        <v>41.228496771546247</v>
      </c>
      <c r="R7" s="32">
        <f>'Mkt Val without BOP'!G19</f>
        <v>5.4108924575342412</v>
      </c>
      <c r="S7" s="32">
        <f>'Mkt Val without BOP'!H19</f>
        <v>12.031933099658392</v>
      </c>
      <c r="T7" s="32">
        <f>'Mkt Val without BOP'!I19</f>
        <v>6.6099095361329487</v>
      </c>
      <c r="U7" s="32">
        <f>'Mkt Val without BOP'!J19</f>
        <v>152.7881631791015</v>
      </c>
      <c r="V7" s="32">
        <f>'Mkt Val without BOP'!K19</f>
        <v>7.9410758457745381</v>
      </c>
      <c r="W7" s="32">
        <f>'Mkt Val without BOP'!L19</f>
        <v>87.509709957486635</v>
      </c>
      <c r="X7" s="173">
        <f>'Mkt Val without BOP'!M19</f>
        <v>65.278453221614896</v>
      </c>
      <c r="Y7" s="32">
        <f>'Mkt Val without BOP'!N19</f>
        <v>-4.1581709621469507</v>
      </c>
      <c r="Z7" s="162">
        <f>'Mkt Val without BOP'!O30</f>
        <v>2.2473692422852025</v>
      </c>
      <c r="AA7" s="32">
        <f>'Mkt Val without BOP'!O19</f>
        <v>5.1974417916562307E-2</v>
      </c>
      <c r="AB7" s="32">
        <f>'Mkt Val without BOP'!P19</f>
        <v>-0.49820388809092198</v>
      </c>
    </row>
    <row r="8" spans="2:29" x14ac:dyDescent="0.25">
      <c r="B8" s="215"/>
      <c r="C8" s="215"/>
      <c r="D8" s="215"/>
      <c r="E8" s="215"/>
      <c r="F8" s="215"/>
      <c r="G8" s="215"/>
      <c r="H8" s="215"/>
      <c r="I8" s="216"/>
      <c r="K8">
        <v>0</v>
      </c>
      <c r="L8">
        <f t="shared" si="0"/>
        <v>5</v>
      </c>
      <c r="M8">
        <f>'Mkt Val with BOP and required r'!B21</f>
        <v>2019</v>
      </c>
      <c r="N8" s="32">
        <f>'Mkt Val without BOP'!C20</f>
        <v>47.650327548837964</v>
      </c>
      <c r="O8" s="32">
        <f>'Mkt Val without BOP'!D20</f>
        <v>383.14827160433879</v>
      </c>
      <c r="P8" s="32">
        <f>'Mkt Val without BOP'!E20</f>
        <v>319.43121555532832</v>
      </c>
      <c r="Q8" s="32">
        <f>'Mkt Val without BOP'!F20</f>
        <v>44.774147493899228</v>
      </c>
      <c r="R8" s="32">
        <f>'Mkt Val without BOP'!G20</f>
        <v>5.8762292088821866</v>
      </c>
      <c r="S8" s="32">
        <f>'Mkt Val without BOP'!H20</f>
        <v>13.066679346229051</v>
      </c>
      <c r="T8" s="32">
        <f>'Mkt Val without BOP'!I20</f>
        <v>7.1783617562403821</v>
      </c>
      <c r="U8" s="32">
        <f>'Mkt Val without BOP'!J20</f>
        <v>165.92794521250426</v>
      </c>
      <c r="V8" s="32">
        <f>'Mkt Val without BOP'!K20</f>
        <v>8.6240083685111735</v>
      </c>
      <c r="W8" s="32">
        <f>'Mkt Val without BOP'!L20</f>
        <v>95.035545013830486</v>
      </c>
      <c r="X8" s="173">
        <f>'Mkt Val without BOP'!M20</f>
        <v>70.892400198673784</v>
      </c>
      <c r="Y8" s="32">
        <f>'Mkt Val without BOP'!N20</f>
        <v>-4.5157736648915652</v>
      </c>
      <c r="Z8" s="162">
        <f>'Mkt Val without BOP'!O31</f>
        <v>2.4406429971217301</v>
      </c>
      <c r="AA8" s="32">
        <f>'Mkt Val without BOP'!O20</f>
        <v>5.1974417916562446E-2</v>
      </c>
      <c r="AB8" s="32">
        <f>'Mkt Val without BOP'!P20</f>
        <v>-0.54104942246671828</v>
      </c>
    </row>
    <row r="9" spans="2:29" x14ac:dyDescent="0.25">
      <c r="K9">
        <v>1</v>
      </c>
      <c r="L9">
        <f>L8+1</f>
        <v>6</v>
      </c>
      <c r="M9">
        <f>'Mkt Val with BOP and required r'!B22</f>
        <v>2020</v>
      </c>
      <c r="N9" s="32">
        <f>'Mkt Val without BOP'!C21</f>
        <v>49.0798373753031</v>
      </c>
      <c r="O9" s="32">
        <f>'Mkt Val without BOP'!D21</f>
        <v>394.64271975246896</v>
      </c>
      <c r="P9" s="32">
        <f>'Mkt Val without BOP'!E21</f>
        <v>329.0141520219882</v>
      </c>
      <c r="Q9" s="32">
        <f>'Mkt Val without BOP'!F21</f>
        <v>46.117371918716209</v>
      </c>
      <c r="R9" s="32">
        <f>'Mkt Val without BOP'!G21</f>
        <v>6.0525160851486524</v>
      </c>
      <c r="S9" s="32">
        <f>'Mkt Val without BOP'!H21</f>
        <v>13.458679726615905</v>
      </c>
      <c r="T9" s="32">
        <f>'Mkt Val without BOP'!I21</f>
        <v>7.7957008672770565</v>
      </c>
      <c r="U9" s="32">
        <f>'Mkt Val without BOP'!J21</f>
        <v>170.90578356887937</v>
      </c>
      <c r="V9" s="32">
        <f>'Mkt Val without BOP'!K21</f>
        <v>8.8827286195664961</v>
      </c>
      <c r="W9" s="32">
        <f>'Mkt Val without BOP'!L21</f>
        <v>97.886611364245397</v>
      </c>
      <c r="X9" s="173">
        <f>'Mkt Val without BOP'!M21</f>
        <v>73.019172204634003</v>
      </c>
      <c r="Y9" s="32">
        <f>'Mkt Val without BOP'!N21</f>
        <v>3.9048902631913656</v>
      </c>
      <c r="Z9" s="162">
        <f>'Mkt Val without BOP'!O32</f>
        <v>2.6505382948741993</v>
      </c>
      <c r="AA9" s="32">
        <f>'Mkt Val without BOP'!O21</f>
        <v>5.1974417916562377E-2</v>
      </c>
      <c r="AB9" s="32">
        <f>'Mkt Val without BOP'!P21</f>
        <v>-0.5572809051407317</v>
      </c>
    </row>
    <row r="10" spans="2:29" x14ac:dyDescent="0.25">
      <c r="B10" t="s">
        <v>207</v>
      </c>
      <c r="I10" s="83">
        <f>'Fin Stmt'!K69</f>
        <v>5.5235167163916743E-2</v>
      </c>
      <c r="Z10" s="56"/>
    </row>
    <row r="11" spans="2:29" ht="15" customHeight="1" x14ac:dyDescent="0.25">
      <c r="B11" t="s">
        <v>208</v>
      </c>
      <c r="I11" s="70">
        <f>'Fin Stmt'!K70</f>
        <v>0.03</v>
      </c>
      <c r="K11" s="219" t="s">
        <v>224</v>
      </c>
      <c r="L11" s="179">
        <f>$C$19</f>
        <v>0.05</v>
      </c>
      <c r="M11" s="90">
        <v>2020</v>
      </c>
      <c r="N11" s="89">
        <f>U11*'Mkt Val without BOP'!$D$10</f>
        <v>50.032843926279867</v>
      </c>
      <c r="O11" s="89">
        <f>'Mkt Val without BOP'!$D$20*(1+C$19)</f>
        <v>402.30568518455573</v>
      </c>
      <c r="P11" s="89">
        <f>($O11*'Mkt Val without BOP'!$E$13)</f>
        <v>335.40277633309478</v>
      </c>
      <c r="Q11" s="89">
        <f>($O11*'Mkt Val without BOP'!$F$13)</f>
        <v>47.012854868594189</v>
      </c>
      <c r="R11" s="89">
        <f>($O11*'Mkt Val without BOP'!$G$13)</f>
        <v>6.1700406693262959</v>
      </c>
      <c r="S11" s="89">
        <f>O11-P11-Q11-R11</f>
        <v>13.720013313540464</v>
      </c>
      <c r="T11" s="89">
        <f>'Mkt Val without BOP'!$C$20*('Mkt Val without BOP'!$I$13)</f>
        <v>7.7957008672770565</v>
      </c>
      <c r="U11" s="89">
        <f>O11/'Mkt Val without BOP'!$I$10</f>
        <v>174.22434247312947</v>
      </c>
      <c r="V11" s="89">
        <f>S11*(1-'Fin Stmt'!$P$39)</f>
        <v>9.0552087869367046</v>
      </c>
      <c r="W11" s="89">
        <f>'Mkt Val without BOP'!$L$20*(1+C$19)</f>
        <v>99.787322264522018</v>
      </c>
      <c r="X11" s="180">
        <f>'Mkt Val without BOP'!$M$20*(1+C$19)</f>
        <v>74.437020208607478</v>
      </c>
      <c r="Y11" s="89">
        <f>V11+R11-(W11-W$8)-(X11-X$8+R11)</f>
        <v>0.75881152631147764</v>
      </c>
      <c r="Z11" s="181">
        <f>'Mkt Val without BOP'!$O$32</f>
        <v>2.6505382948741993</v>
      </c>
      <c r="AA11" s="182">
        <f>V11/U11</f>
        <v>5.1974417916562293E-2</v>
      </c>
      <c r="AB11" s="182">
        <f>U11*(AA11-$I$10)</f>
        <v>-0.56810189359008079</v>
      </c>
    </row>
    <row r="12" spans="2:29" x14ac:dyDescent="0.25">
      <c r="G12" s="70"/>
      <c r="K12" s="219"/>
      <c r="L12" s="179">
        <f>$D$19</f>
        <v>0.04</v>
      </c>
      <c r="M12" s="90">
        <v>2020</v>
      </c>
      <c r="N12" s="89">
        <f>U12*'Mkt Val without BOP'!$D$10</f>
        <v>49.556340650791491</v>
      </c>
      <c r="O12" s="89">
        <f>'Mkt Val without BOP'!$D$20*(1+D$19)</f>
        <v>398.47420246851237</v>
      </c>
      <c r="P12" s="89">
        <f>($O12*'Mkt Val without BOP'!$E$13)</f>
        <v>332.20846417754149</v>
      </c>
      <c r="Q12" s="89">
        <f>($O12*'Mkt Val without BOP'!$F$13)</f>
        <v>46.565113393655203</v>
      </c>
      <c r="R12" s="89">
        <f>($O12*'Mkt Val without BOP'!$G$13)</f>
        <v>6.1112783772374746</v>
      </c>
      <c r="S12" s="89">
        <f>O12-P12-Q12-R12</f>
        <v>13.589346520078209</v>
      </c>
      <c r="T12" s="89">
        <f>'Mkt Val without BOP'!$C$20*('Mkt Val without BOP'!$I$13)</f>
        <v>7.7957008672770565</v>
      </c>
      <c r="U12" s="89">
        <f>O12/'Mkt Val without BOP'!$I$10</f>
        <v>172.56506302100445</v>
      </c>
      <c r="V12" s="89">
        <f>S12*(1-'Fin Stmt'!$P$39)</f>
        <v>8.9689687032516172</v>
      </c>
      <c r="W12" s="89">
        <f>'Mkt Val without BOP'!$L$20*(1+D$19)</f>
        <v>98.836966814383715</v>
      </c>
      <c r="X12" s="180">
        <f>'Mkt Val without BOP'!$M$20*(1+D19)</f>
        <v>73.728096206620734</v>
      </c>
      <c r="Y12" s="89">
        <f t="shared" ref="Y12:Y15" si="1">V12+R12-(W12-W$8)-(X12-X$8+R12)</f>
        <v>2.3318508947514367</v>
      </c>
      <c r="Z12" s="181">
        <f>'Mkt Val without BOP'!$O$32</f>
        <v>2.6505382948741993</v>
      </c>
      <c r="AA12" s="182">
        <f>V12/U12</f>
        <v>5.1974417916562425E-2</v>
      </c>
      <c r="AB12" s="182">
        <f t="shared" ref="AB12:AB15" si="2">U12*(AA12-$I$10)</f>
        <v>-0.5626913993653907</v>
      </c>
    </row>
    <row r="13" spans="2:29" x14ac:dyDescent="0.25">
      <c r="G13" s="70"/>
      <c r="K13" s="219"/>
      <c r="L13" s="179">
        <f>$E$19</f>
        <v>0.03</v>
      </c>
      <c r="M13" s="90">
        <v>2020</v>
      </c>
      <c r="N13" s="89">
        <f>U13*'Mkt Val without BOP'!$D$10</f>
        <v>49.0798373753031</v>
      </c>
      <c r="O13" s="89">
        <f>'Mkt Val without BOP'!$D$20*(1+E$19)</f>
        <v>394.64271975246896</v>
      </c>
      <c r="P13" s="89">
        <f>($O13*'Mkt Val without BOP'!$E$13)</f>
        <v>329.0141520219882</v>
      </c>
      <c r="Q13" s="89">
        <f>($O13*'Mkt Val without BOP'!$F$13)</f>
        <v>46.117371918716209</v>
      </c>
      <c r="R13" s="89">
        <f>($O13*'Mkt Val without BOP'!$G$13)</f>
        <v>6.0525160851486524</v>
      </c>
      <c r="S13" s="89">
        <f>O13-P13-Q13-R13</f>
        <v>13.458679726615905</v>
      </c>
      <c r="T13" s="89">
        <f>'Mkt Val without BOP'!$C$20*'Mkt Val without BOP'!$I$13</f>
        <v>7.7957008672770565</v>
      </c>
      <c r="U13" s="89">
        <f>O13/'Mkt Val without BOP'!$I$10</f>
        <v>170.90578356887937</v>
      </c>
      <c r="V13" s="89">
        <f>S13*(1-'Fin Stmt'!$P$39)</f>
        <v>8.8827286195664961</v>
      </c>
      <c r="W13" s="89">
        <f>'Mkt Val without BOP'!$L$20*(1+E$19)</f>
        <v>97.886611364245397</v>
      </c>
      <c r="X13" s="180">
        <f>'Mkt Val without BOP'!$M$20*(1+E19)</f>
        <v>73.019172204634003</v>
      </c>
      <c r="Y13" s="89">
        <f t="shared" si="1"/>
        <v>3.9048902631913656</v>
      </c>
      <c r="Z13" s="181">
        <f>'Mkt Val without BOP'!$O$32</f>
        <v>2.6505382948741993</v>
      </c>
      <c r="AA13" s="182">
        <f>V13/U13</f>
        <v>5.1974417916562377E-2</v>
      </c>
      <c r="AB13" s="182">
        <f t="shared" si="2"/>
        <v>-0.5572809051407317</v>
      </c>
    </row>
    <row r="14" spans="2:29" x14ac:dyDescent="0.25">
      <c r="G14" s="70"/>
      <c r="K14" s="219"/>
      <c r="L14" s="179">
        <f>$F$19</f>
        <v>1.9999999999999997E-2</v>
      </c>
      <c r="M14" s="90">
        <v>2020</v>
      </c>
      <c r="N14" s="89">
        <f>U14*'Mkt Val without BOP'!$D$10</f>
        <v>48.603334099814717</v>
      </c>
      <c r="O14" s="89">
        <f>'Mkt Val without BOP'!$D$20*(1+F$19)</f>
        <v>390.81123703642555</v>
      </c>
      <c r="P14" s="89">
        <f>($O14*'Mkt Val without BOP'!$E$13)</f>
        <v>325.8198398664349</v>
      </c>
      <c r="Q14" s="89">
        <f>($O14*'Mkt Val without BOP'!$F$13)</f>
        <v>45.669630443777216</v>
      </c>
      <c r="R14" s="89">
        <f>($O14*'Mkt Val without BOP'!$G$13)</f>
        <v>5.9937537930598301</v>
      </c>
      <c r="S14" s="89">
        <f>O14-P14-Q14-R14</f>
        <v>13.328012933153602</v>
      </c>
      <c r="T14" s="89">
        <f>'Mkt Val without BOP'!$C$20*'Mkt Val without BOP'!$I$13</f>
        <v>7.7957008672770565</v>
      </c>
      <c r="U14" s="89">
        <f>O14/'Mkt Val without BOP'!$I$10</f>
        <v>169.24650411675432</v>
      </c>
      <c r="V14" s="89">
        <f>S14*(1-'Fin Stmt'!$P$39)</f>
        <v>8.7964885358813767</v>
      </c>
      <c r="W14" s="89">
        <f>'Mkt Val without BOP'!$L$20*(1+F$19)</f>
        <v>96.936255914107093</v>
      </c>
      <c r="X14" s="180">
        <f>'Mkt Val without BOP'!$M$20*(1+F19)</f>
        <v>72.310248202647259</v>
      </c>
      <c r="Y14" s="89">
        <f t="shared" si="1"/>
        <v>5.4779296316312953</v>
      </c>
      <c r="Z14" s="181">
        <f>'Mkt Val without BOP'!$O$32</f>
        <v>2.6505382948741993</v>
      </c>
      <c r="AA14" s="182">
        <f>V14/U14</f>
        <v>5.1974417916562335E-2</v>
      </c>
      <c r="AB14" s="182">
        <f t="shared" si="2"/>
        <v>-0.55187041091607136</v>
      </c>
    </row>
    <row r="15" spans="2:29" x14ac:dyDescent="0.25">
      <c r="G15" s="70"/>
      <c r="K15" s="219"/>
      <c r="L15" s="179">
        <f>$G$19</f>
        <v>9.9999999999999967E-3</v>
      </c>
      <c r="M15" s="90">
        <v>2020</v>
      </c>
      <c r="N15" s="89">
        <f>U15*'Mkt Val without BOP'!$D$10</f>
        <v>48.126830824326348</v>
      </c>
      <c r="O15" s="89">
        <f>'Mkt Val without BOP'!$D$20*(1+G$19)</f>
        <v>386.9797543203822</v>
      </c>
      <c r="P15" s="89">
        <f>($O15*'Mkt Val without BOP'!$E$13)</f>
        <v>322.62552771088161</v>
      </c>
      <c r="Q15" s="89">
        <f>($O15*'Mkt Val without BOP'!$F$13)</f>
        <v>45.221888968838229</v>
      </c>
      <c r="R15" s="89">
        <f>($O15*'Mkt Val without BOP'!$G$13)</f>
        <v>5.9349915009710088</v>
      </c>
      <c r="S15" s="89">
        <f>O15-P15-Q15-R15</f>
        <v>13.197346139691348</v>
      </c>
      <c r="T15" s="89">
        <f>'Mkt Val without BOP'!$C$20*'Mkt Val without BOP'!$I$13</f>
        <v>7.7957008672770565</v>
      </c>
      <c r="U15" s="89">
        <f>O15/'Mkt Val without BOP'!$I$10</f>
        <v>167.5872246646293</v>
      </c>
      <c r="V15" s="89">
        <f>S15*(1-'Fin Stmt'!$P$39)</f>
        <v>8.7102484521962893</v>
      </c>
      <c r="W15" s="89">
        <f>'Mkt Val without BOP'!$L$20*(1+G$19)</f>
        <v>95.98590046396879</v>
      </c>
      <c r="X15" s="180">
        <f>'Mkt Val without BOP'!$M$20*(1+G19)</f>
        <v>71.601324200660528</v>
      </c>
      <c r="Y15" s="89">
        <f t="shared" si="1"/>
        <v>7.0509690000712411</v>
      </c>
      <c r="Z15" s="181">
        <f>'Mkt Val without BOP'!$O$32</f>
        <v>2.6505382948741993</v>
      </c>
      <c r="AA15" s="182">
        <f>V15/U15</f>
        <v>5.1974417916562474E-2</v>
      </c>
      <c r="AB15" s="182">
        <f t="shared" si="2"/>
        <v>-0.54645991669138083</v>
      </c>
    </row>
    <row r="16" spans="2:29" x14ac:dyDescent="0.25">
      <c r="G16" s="70"/>
      <c r="K16" s="137"/>
      <c r="L16" s="83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78"/>
      <c r="AB16" s="3"/>
      <c r="AC16" s="3"/>
    </row>
    <row r="17" spans="1:33" ht="24.95" customHeight="1" x14ac:dyDescent="0.25">
      <c r="B17" s="220" t="s">
        <v>220</v>
      </c>
      <c r="C17" s="220"/>
      <c r="D17" s="220"/>
      <c r="E17" s="220"/>
      <c r="F17" s="220"/>
      <c r="G17" s="220"/>
      <c r="H17" s="166"/>
      <c r="I17" s="166"/>
      <c r="J17" s="166"/>
      <c r="K17" s="221" t="s">
        <v>221</v>
      </c>
      <c r="L17" s="221"/>
      <c r="M17" s="221"/>
      <c r="N17" s="221"/>
      <c r="O17" s="221"/>
      <c r="P17" s="167"/>
      <c r="Q17" s="167"/>
      <c r="R17" s="185"/>
      <c r="S17" s="185"/>
      <c r="T17" s="228" t="s">
        <v>226</v>
      </c>
      <c r="U17" s="228"/>
      <c r="V17" s="228"/>
      <c r="W17" s="228"/>
      <c r="X17" s="228"/>
      <c r="Y17" s="185"/>
      <c r="Z17" s="183"/>
      <c r="AA17" s="186"/>
      <c r="AB17" s="229" t="s">
        <v>222</v>
      </c>
      <c r="AC17" s="229"/>
      <c r="AD17" s="229"/>
      <c r="AE17" s="229"/>
      <c r="AF17" s="229"/>
      <c r="AG17" s="93"/>
    </row>
    <row r="18" spans="1:33" ht="15" customHeight="1" x14ac:dyDescent="0.25">
      <c r="B18" s="203" t="s">
        <v>224</v>
      </c>
      <c r="C18" s="203"/>
      <c r="D18" s="203"/>
      <c r="E18" s="203"/>
      <c r="F18" s="203"/>
      <c r="G18" s="203"/>
      <c r="K18" s="206" t="s">
        <v>224</v>
      </c>
      <c r="L18" s="206"/>
      <c r="M18" s="206"/>
      <c r="N18" s="206"/>
      <c r="O18" s="206"/>
      <c r="R18" s="24"/>
      <c r="S18" s="24"/>
      <c r="T18" s="204" t="s">
        <v>224</v>
      </c>
      <c r="U18" s="204"/>
      <c r="V18" s="204"/>
      <c r="W18" s="204"/>
      <c r="X18" s="204"/>
      <c r="Y18" s="24"/>
      <c r="Z18" s="13"/>
      <c r="AA18" s="93"/>
      <c r="AB18" s="201" t="s">
        <v>224</v>
      </c>
      <c r="AC18" s="201"/>
      <c r="AD18" s="201"/>
      <c r="AE18" s="201"/>
      <c r="AF18" s="201"/>
      <c r="AG18" s="93"/>
    </row>
    <row r="19" spans="1:33" ht="15" customHeight="1" x14ac:dyDescent="0.25">
      <c r="B19" s="30"/>
      <c r="C19" s="144">
        <f>D19+$I$5</f>
        <v>0.05</v>
      </c>
      <c r="D19" s="144">
        <f>E19+$I$5</f>
        <v>0.04</v>
      </c>
      <c r="E19" s="144">
        <f>$I$11</f>
        <v>0.03</v>
      </c>
      <c r="F19" s="144">
        <f>E19-$I$5</f>
        <v>1.9999999999999997E-2</v>
      </c>
      <c r="G19" s="144">
        <f>F19-$I$5</f>
        <v>9.9999999999999967E-3</v>
      </c>
      <c r="H19" s="222" t="s">
        <v>209</v>
      </c>
      <c r="J19" s="145"/>
      <c r="K19" s="146">
        <f>L19+$I$5</f>
        <v>0.05</v>
      </c>
      <c r="L19" s="146">
        <f>M19+$I$5</f>
        <v>0.04</v>
      </c>
      <c r="M19" s="146">
        <f>$I$11</f>
        <v>0.03</v>
      </c>
      <c r="N19" s="146">
        <f>M19-$I$5</f>
        <v>1.9999999999999997E-2</v>
      </c>
      <c r="O19" s="146">
        <f>N19-$I$5</f>
        <v>9.9999999999999967E-3</v>
      </c>
      <c r="P19" s="230" t="s">
        <v>223</v>
      </c>
      <c r="Q19" s="164"/>
      <c r="R19" s="24"/>
      <c r="S19" s="24"/>
      <c r="T19" s="149">
        <f>U19+$I$5</f>
        <v>0.05</v>
      </c>
      <c r="U19" s="149">
        <f>V19+$I$5</f>
        <v>0.04</v>
      </c>
      <c r="V19" s="149">
        <f>$I$11</f>
        <v>0.03</v>
      </c>
      <c r="W19" s="149">
        <f>V19-$I$5</f>
        <v>1.9999999999999997E-2</v>
      </c>
      <c r="X19" s="149">
        <f>W19-$I$5</f>
        <v>9.9999999999999967E-3</v>
      </c>
      <c r="Y19" s="231" t="s">
        <v>227</v>
      </c>
      <c r="Z19" s="13"/>
      <c r="AA19" s="93"/>
      <c r="AB19" s="154">
        <f>AC19+$I$5</f>
        <v>0.05</v>
      </c>
      <c r="AC19" s="154">
        <f>AD19+$I$5</f>
        <v>0.04</v>
      </c>
      <c r="AD19" s="154">
        <f>$I$11</f>
        <v>0.03</v>
      </c>
      <c r="AE19" s="154">
        <f>AD19-$I$5</f>
        <v>1.9999999999999997E-2</v>
      </c>
      <c r="AF19" s="154">
        <f>AE19-$I$5</f>
        <v>9.9999999999999967E-3</v>
      </c>
      <c r="AG19" s="232" t="s">
        <v>225</v>
      </c>
    </row>
    <row r="20" spans="1:33" ht="15" customHeight="1" x14ac:dyDescent="0.25">
      <c r="A20" s="233" t="s">
        <v>210</v>
      </c>
      <c r="B20" s="144">
        <f>B21-$I$2</f>
        <v>1.5235167163916739E-2</v>
      </c>
      <c r="C20" s="143">
        <f>($Y$4/(1+$B20)^$L$4+$Y$5/(1+$B20)^$L$5+$Y$6/(1+$B20)^$L$6+$Y$7/(1+$B20)^$L$7+$Y$8/(1+$B20)^$L$8)+($Y11/($B20-C$19)/(1+$B20)^$L$8)</f>
        <v>-38.616269062354306</v>
      </c>
      <c r="D20" s="143">
        <f>($Y$4/(1+$B20)^$L$4+$Y$5/(1+$B20)^$L$5+$Y$6/(1+$B20)^$L$6+$Y$7/(1+$B20)^$L$7+$Y$8/(1+$B20)^$L$8)+($Y$12/($B20-D$19)/(1+$B20)^$L$8)</f>
        <v>-105.68219077712405</v>
      </c>
      <c r="E20" s="143">
        <f>($Y$4/(1+$B20)^$L$4+$Y$5/(1+$B20)^$L$5+$Y$6/(1+$B20)^$L$6+$Y$7/(1+$B20)^$L$7+$Y$8/(1+$B20)^$L$8)+($Y$13/($B20-E$19)/(1+$B20)^$L$8)</f>
        <v>-263.59359981887292</v>
      </c>
      <c r="F20" s="143">
        <f>($Y$4/(1+$B20)^$L$4+$Y$5/(1+$B20)^$L$5+$Y$6/(1+$B20)^$L$6+$Y$7/(1+$B20)^$L$7+$Y$8/(1+$B20)^$L$8)+($Y$14/($B20-F$19)/(1+$B20)^$L$8)</f>
        <v>-1084.3253615324431</v>
      </c>
      <c r="G20" s="143">
        <f>($Y$4/(1+$B20)^$L$4+$Y$5/(1+$B20)^$L$5+$Y$6/(1+$B20)^$L$6+$Y$7/(1+$B20)^$L$7+$Y$8/(1+$B20)^$L$8)+($Y$15/($B20-G$19)/(1+$B20)^$L$8)</f>
        <v>1230.3986741177991</v>
      </c>
      <c r="H20" s="222"/>
      <c r="J20" s="146">
        <f>J21-$I$2</f>
        <v>1.5235167163916739E-2</v>
      </c>
      <c r="K20" s="147">
        <f>($Y$4/(1+$J20)^$L$4+$Y$5/(1+$J20)^$L$5+$Y$6/(1+$J20)^$L$6+$Y$7/(1+$J20)^$L$7+$Y$8/(1+$J20)^$L$8)+($V$11*(1-K$19/($AA$11-$I$3-$I$3))/($J20-K$19)/(1+$J20)^$L$8)</f>
        <v>748.53513816670602</v>
      </c>
      <c r="L20" s="147">
        <f>($Y$4/(1+$J20)^$L$4+$Y$5/(1+$J20)^$L$5+$Y$6/(1+$J20)^$L$6+$Y$7/(1+$J20)^$L$7+$Y$8/(1+$J20)^$L$8)+($V$12*(1-L$19/($AA$12-$I$3-$I$3))/($J20-L$19)/(1+$J20)^$L$8)</f>
        <v>767.53367716789546</v>
      </c>
      <c r="M20" s="157">
        <f>($Y$4/(1+$J20)^$L$4+$Y$5/(1+$J20)^$L$5+$Y$6/(1+$J20)^$L$6+$Y$7/(1+$J20)^$L$7+$Y$8/(1+$J20)^$L$8)+($V$13*(1-M$19/($AA$13-$I$3-$I$3))/($J20-M$19)/(1+$J20)^$L$8)</f>
        <v>821.31236719352512</v>
      </c>
      <c r="N20" s="147">
        <f>($Y$4/(1+$J20)^$L$4+$Y$5/(1+$J20)^$L$5+$Y$6/(1+$J20)^$L$6+$Y$7/(1+$J20)^$L$7+$Y$8/(1+$J20)^$L$8)+($V$14*(1-N$19/($AA$14-$I$3-$I$3))/($J20-N$19)/(1+$J20)^$L$8)</f>
        <v>1128.8515096785593</v>
      </c>
      <c r="O20" s="147">
        <f>($Y$4/(1+$J20)^$L$4+$Y$5/(1+$J20)^$L$5+$Y$6/(1+$J20)^$L$6+$Y$7/(1+$J20)^$L$7+$Y$8/(1+$J20)^$L$8)+($V$15*(1-O$19/($AA$15-$I$3 -$I$3))/($J20-O$19)/(1+$J20)^$L$8)</f>
        <v>235.98291181853685</v>
      </c>
      <c r="P20" s="230"/>
      <c r="Q20" s="164"/>
      <c r="R20" s="234" t="s">
        <v>233</v>
      </c>
      <c r="S20" s="149">
        <f>S21-$I$2</f>
        <v>1.5235167163916739E-2</v>
      </c>
      <c r="T20" s="150">
        <f>($Y$4/(1+$S20)^$L$4+$Y$5/(1+$S20)^$L$5+$Y$6/(1+$S20)^$L$6+$Y$7/(1+$S20)^$L$7+$Y$8/(1+$S20)^$L$8)+($Y$11/($S20-T$19)/(1+$S20)^$L$8)+($Z$4/(1+$Y$22)^$L$4+$Z$5/(1+$Y$22)^$L$5+$Z$6/(1+$Y$22)^$L$6+$Z$7/(1+$Y$22)^$L$7+$Z$8/(1+$Y$22)^$L$8)+($Z$11/($Y$22-T$19)/(1+$Y22)^$L$8)</f>
        <v>-99.373614168356198</v>
      </c>
      <c r="U20" s="150">
        <f>($Y$4/(1+$S20)^$L$4+$Y$5/(1+$S20)^$L$5+$Y$6/(1+$S20)^$L$6+$Y$7/(1+$S20)^$L$7+$Y$8/(1+$S20)^$L$8)+($Y$12/($S20-U$19)/(1+$S20)^$L$8)+($Z$4/(1+$Y$22)^$L$4+$Z$5/(1+$Y$22)^$L$5+$Z$6/(1+$Y$22)^$L$6+$Z$7/(1+$Y$22)^$L$7+$Z$8/(1+$Y$22)^$L$8)+($Z$12/($Y$22-U$19)/(1+$Y$22)^$L$8)</f>
        <v>-194.98422199534252</v>
      </c>
      <c r="V20" s="150">
        <f>($Y$4/(1+$S20)^$L$4+$Y$5/(1+$S20)^$L$5+$Y$6/(1+$S20)^$L$6+$Y$7/(1+$S20)^$L$7+$Y$8/(1+$S20)^$L$8)+($Y$13/($S20-V$19)/(1+$S20)^$L$8)+($Z$4/(1+$Y$22)^$L$4+$Z$5/(1+$Y$22)^$L$5+$Z$6/(1+$Y$22)^$L$6+$Z$7/(1+$Y$22)^$L$7+$Z$8/(1+$Y$22)^$L$8)+($Z$13/($Y$22-V$19)/(1+$Y$22)^$L$8)</f>
        <v>-420.10609336108763</v>
      </c>
      <c r="W20" s="150">
        <f>($Y$4/(1+$S20)^$L$4+$Y$5/(1+$S20)^$L$5+$Y$6/(1+$S20)^$L$6+$Y$7/(1+$S20)^$L$7+$Y$8/(1+$S20)^$L$8)+($Y$14/($S20-W$19)/(1+$S20)^$L$8)+($Z$4/(1+$Y$22)^$L$4+$Z$5/(1+$Y$22)^$L$5+$Z$6/(1+$Y$22)^$L$6+$Z$7/(1+$Y$22)^$L$7+$Z$8/(1+$Y$22)^$L$8)+($Z$14/($Y$22-W$19)/(1+$Y$22)^$L$8)</f>
        <v>-1590.1587906770576</v>
      </c>
      <c r="X20" s="150">
        <f>($Y$4/(1+$S20)^$L$4+$Y$5/(1+$S20)^$L$5+$Y$6/(1+$S20)^$L$6+$Y$7/(1+$S20)^$L$7+$Y$8/(1+$S20)^$L$8)+($Y$15/($S20-X$19)/(1+$S20)^$L$8)+($Z$4/(1+$Y$22)^$L$4+$Z$5/(1+$Y$22)^$L$5+$Z$6/(1+$Y$22)^$L$6+$Z$7/(1+$Y$22)^$L$7+$Z$8/(1+$Y$22)^$L$8)+($Z$15/($Y$22-X$19)/(1+$Y$22)^$L$8)</f>
        <v>1709.7611439432717</v>
      </c>
      <c r="Y20" s="231"/>
      <c r="Z20" s="13"/>
      <c r="AA20" s="154">
        <f>AA21-$I$2</f>
        <v>1.5235167163916739E-2</v>
      </c>
      <c r="AB20" s="152">
        <f>($Y$4/(1+$AA20)^$L$4+$Y$5/(1+$AA20)^$L$5+$Y$6/(1+$AA20)^$L$6+$Y$7/(1+$AA20)^$L$7+$Y$8/(1+$AA20)^$L$8)+($S$11*$AG$23)/(1+$AA20)^$L$8</f>
        <v>93.061623544872006</v>
      </c>
      <c r="AC20" s="152">
        <f>($Y$4/(1+$AA20)^$L$4+$Y$5/(1+$AA20)^$L$5+$Y$6/(1+$AA20)^$L$6+$Y$7/(1+$AA20)^$L$7+$Y$8/(1+$AA20)^$L$8)+($S$12*$AG$23)/(1+$AA20)^$L$8</f>
        <v>92.000288090804972</v>
      </c>
      <c r="AD20" s="152">
        <f>($Y$4/(1+$AA20)^$L$4+$Y$5/(1+$AA20)^$L$5+$Y$6/(1+$AA20)^$L$6+$Y$7/(1+$AA20)^$L$7+$Y$8/(1+$AA20)^$L$8)+($S$13*$AG$23)/(1+$AA20)^$L$8</f>
        <v>90.93895263673754</v>
      </c>
      <c r="AE20" s="152">
        <f>($Y$4/(1+$AA20)^$L$4+$Y$5/(1+$AA20)^$L$5+$Y$6/(1+$AA20)^$L$6+$Y$7/(1+$AA20)^$L$7+$Y$8/(1+$AA20)^$L$8)+($S$14*$AG$23)/(1+$AA20)^$L$8</f>
        <v>89.877617182670107</v>
      </c>
      <c r="AF20" s="152">
        <f>($Y$4/(1+$AA20)^$L$4+$Y$5/(1+$AA20)^$L$5+$Y$6/(1+$AA20)^$L$6+$Y$7/(1+$AA20)^$L$7+$Y$8/(1+$AA20)^$L$8)+($S$15*$AG$23)/(1+$AA20)^$L$8</f>
        <v>88.816281728603073</v>
      </c>
      <c r="AG20" s="232"/>
    </row>
    <row r="21" spans="1:33" ht="15" customHeight="1" x14ac:dyDescent="0.25">
      <c r="A21" s="233"/>
      <c r="B21" s="144">
        <f>B22-$I$2</f>
        <v>3.5235167163916739E-2</v>
      </c>
      <c r="C21" s="143">
        <f>($Y$4/(1+$B21)^$L$4+$Y$5/(1+$B21)^$L$5+$Y$6/(1+$B21)^$L$6+$Y$7/(1+$B21)^$L$7+$Y$8/(1+$B21)^$L$8)+($Y12/($B21-C$19)/(1+$B21)^$L$8)</f>
        <v>-150.11917372436088</v>
      </c>
      <c r="D21" s="143">
        <f>($Y$4/(1+$B21)^$L$4+$Y$5/(1+$B21)^$L$5+$Y$6/(1+$B21)^$L$6+$Y$7/(1+$B21)^$L$7+$Y$8/(1+$B21)^$L$8)+($Y$12/($B21-D$19)/(1+$B21)^$L$8)</f>
        <v>-428.87855401334576</v>
      </c>
      <c r="E21" s="143">
        <f>($Y$4/(1+$B21)^$L$4+$Y$5/(1+$B21)^$L$5+$Y$6/(1+$B21)^$L$6+$Y$7/(1+$B21)^$L$7+$Y$8/(1+$B21)^$L$8)+($Y$13/($B21-E$19)/(1+$B21)^$L$8)</f>
        <v>610.01643535558708</v>
      </c>
      <c r="F21" s="143">
        <f>($Y$4/(1+$B21)^$L$4+$Y$5/(1+$B21)^$L$5+$Y$6/(1+$B21)^$L$6+$Y$7/(1+$B21)^$L$7+$Y$8/(1+$B21)^$L$8)+($Y$14/($B21-F$19)/(1+$B21)^$L$8)</f>
        <v>285.09968811361938</v>
      </c>
      <c r="G21" s="143">
        <f>($Y$4/(1+$B21)^$L$4+$Y$5/(1+$B21)^$L$5+$Y$6/(1+$B21)^$L$6+$Y$7/(1+$B21)^$L$7+$Y$8/(1+$B21)^$L$8)+($Y$15/($B21-G$19)/(1+$B21)^$L$8)</f>
        <v>217.69401272740728</v>
      </c>
      <c r="H21" s="222"/>
      <c r="J21" s="146">
        <f>J22-$I$2</f>
        <v>3.5235167163916739E-2</v>
      </c>
      <c r="K21" s="147">
        <f>($Y$4/(1+$J21)^$L$4+$Y$5/(1+$J21)^$L$5+$Y$6/(1+$J21)^$L$6+$Y$7/(1+$J21)^$L$7+$Y$8/(1+$J21)^$L$8)+($V$11*(1-K$19/($AA$11-$I$3-$I$3))/($J21-K$19)/(1+$J21)^$L$8)</f>
        <v>1620.6386800806276</v>
      </c>
      <c r="L21" s="147">
        <f>($Y$4/(1+$J21)^$L$4+$Y$5/(1+$J21)^$L$5+$Y$6/(1+$J21)^$L$6+$Y$7/(1+$J21)^$L$7+$Y$8/(1+$J21)^$L$8)+($V$12*(1-L$19/($AA$12-$I$3-$I$3))/($J21-L$19)/(1+$J21)^$L$8)</f>
        <v>3687.8054597707915</v>
      </c>
      <c r="M21" s="147">
        <f>($Y$4/(1+$J21)^$L$4+$Y$5/(1+$J21)^$L$5+$Y$6/(1+$J21)^$L$6+$Y$7/(1+$J21)^$L$7+$Y$8/(1+$J21)^$L$8)+($V$13*(1-M$19/($AA$13-$I$3-$I$3))/($J21-M$19)/(1+$J21)^$L$8)</f>
        <v>-2165.4006696706792</v>
      </c>
      <c r="N21" s="147">
        <f>($Y$4/(1+$J21)^$L$4+$Y$5/(1+$J21)^$L$5+$Y$6/(1+$J21)^$L$6+$Y$7/(1+$J21)^$L$7+$Y$8/(1+$J21)^$L$8)+($V$14*(1-N$19/($AA$14-$I$3-$I$3))/($J21-N$19)/(1+$J21)^$L$8)</f>
        <v>-342.74865167143906</v>
      </c>
      <c r="O21" s="147">
        <f>($Y$4/(1+$J21)^$L$4+$Y$5/(1+$J21)^$L$5+$Y$6/(1+$J21)^$L$6+$Y$7/(1+$J21)^$L$7+$Y$8/(1+$J21)^$L$8)+($V$15*(1-O$19/($AA$15-$I$3 -$I$3))/($J21-O$19)/(1+$J21)^$L$8)</f>
        <v>30.569557343196895</v>
      </c>
      <c r="P21" s="230"/>
      <c r="Q21" s="164"/>
      <c r="R21" s="234"/>
      <c r="S21" s="149">
        <f>S22-$I$2</f>
        <v>3.5235167163916739E-2</v>
      </c>
      <c r="T21" s="150">
        <f t="shared" ref="T21:T23" si="3">($Y$4/(1+$S21)^$L$4+$Y$5/(1+$S21)^$L$5+$Y$6/(1+$S21)^$L$6+$Y$7/(1+$S21)^$L$7+$Y$8/(1+$S21)^$L$8)+($Y$11/($S21-T$19)/(1+$S21)^$L$8)+($Z$4/(1+$Y$22)^$L$4+$Z$5/(1+$Y$22)^$L$5+$Z$6/(1+$Y$22)^$L$6+$Z$7/(1+$Y$22)^$L$7+$Z$8/(1+$Y$22)^$L$8)+($Z$11/($Y$22-T$19)/(1+$Y23)^$L$8)</f>
        <v>-126.82637751603033</v>
      </c>
      <c r="U21" s="150">
        <f t="shared" ref="U21:U24" si="4">($Y$4/(1+$S21)^$L$4+$Y$5/(1+$S21)^$L$5+$Y$6/(1+$S21)^$L$6+$Y$7/(1+$S21)^$L$7+$Y$8/(1+$S21)^$L$8)+($Y$12/($S21-U$19)/(1+$S21)^$L$8)+($Z$4/(1+$Y$22)^$L$4+$Z$5/(1+$Y$22)^$L$5+$Z$6/(1+$Y$22)^$L$6+$Z$7/(1+$Y$22)^$L$7+$Z$8/(1+$Y$22)^$L$8)+($Z$12/($Y$22-U$19)/(1+$Y$22)^$L$8)</f>
        <v>-518.18058523156424</v>
      </c>
      <c r="V21" s="150">
        <f t="shared" ref="V21:V24" si="5">($Y$4/(1+$S21)^$L$4+$Y$5/(1+$S21)^$L$5+$Y$6/(1+$S21)^$L$6+$Y$7/(1+$S21)^$L$7+$Y$8/(1+$S21)^$L$8)+($Y$13/($S21-V$19)/(1+$S21)^$L$8)+($Z$4/(1+$Y$22)^$L$4+$Z$5/(1+$Y$22)^$L$5+$Z$6/(1+$Y$22)^$L$6+$Z$7/(1+$Y$22)^$L$7+$Z$8/(1+$Y$22)^$L$8)+($Z$13/($Y$22-V$19)/(1+$Y$22)^$L$8)</f>
        <v>453.50394181337231</v>
      </c>
      <c r="W21" s="150">
        <f t="shared" ref="W21:W24" si="6">($Y$4/(1+$S21)^$L$4+$Y$5/(1+$S21)^$L$5+$Y$6/(1+$S21)^$L$6+$Y$7/(1+$S21)^$L$7+$Y$8/(1+$S21)^$L$8)+($Y$14/($S21-W$19)/(1+$S21)^$L$8)+($Z$4/(1+$Y$22)^$L$4+$Z$5/(1+$Y$22)^$L$5+$Z$6/(1+$Y$22)^$L$6+$Z$7/(1+$Y$22)^$L$7+$Z$8/(1+$Y$22)^$L$8)+($Z$14/($Y$22-W$19)/(1+$Y$22)^$L$8)</f>
        <v>-220.73374103099502</v>
      </c>
      <c r="X21" s="150">
        <f t="shared" ref="X21:X24" si="7">($Y$4/(1+$S21)^$L$4+$Y$5/(1+$S21)^$L$5+$Y$6/(1+$S21)^$L$6+$Y$7/(1+$S21)^$L$7+$Y$8/(1+$S21)^$L$8)+($Y$15/($S21-X$19)/(1+$S21)^$L$8)+($Z$4/(1+$Y$22)^$L$4+$Z$5/(1+$Y$22)^$L$5+$Z$6/(1+$Y$22)^$L$6+$Z$7/(1+$Y$22)^$L$7+$Z$8/(1+$Y$22)^$L$8)+($Z$15/($Y$22-X$19)/(1+$Y$22)^$L$8)</f>
        <v>697.05648255287997</v>
      </c>
      <c r="Y21" s="231"/>
      <c r="Z21" s="13"/>
      <c r="AA21" s="154">
        <f>AA22-$I$2</f>
        <v>3.5235167163916739E-2</v>
      </c>
      <c r="AB21" s="152">
        <f>($Y$4/(1+$AA21)^$L$4+$Y$5/(1+$AA21)^$L$5+$Y$6/(1+$AA21)^$L$6+$Y$7/(1+$AA21)^$L$7+$Y$8/(1+$AA21)^$L$8)+($S$11*$AG$23)/(1+$AA21)^$L$8</f>
        <v>83.788483750454972</v>
      </c>
      <c r="AC21" s="152">
        <f>($Y$4/(1+$AA21)^$L$4+$Y$5/(1+$AA21)^$L$5+$Y$6/(1+$AA21)^$L$6+$Y$7/(1+$AA21)^$L$7+$Y$8/(1+$AA21)^$L$8)+($S$12*$AG$23)/(1+$AA21)^$L$8</f>
        <v>82.825784011235243</v>
      </c>
      <c r="AD21" s="152">
        <f>($Y$4/(1+$AA21)^$L$4+$Y$5/(1+$AA21)^$L$5+$Y$6/(1+$AA21)^$L$6+$Y$7/(1+$AA21)^$L$7+$Y$8/(1+$AA21)^$L$8)+($S$13*$AG$23)/(1+$AA21)^$L$8</f>
        <v>81.863084272015158</v>
      </c>
      <c r="AE21" s="152">
        <f>($Y$4/(1+$AA21)^$L$4+$Y$5/(1+$AA21)^$L$5+$Y$6/(1+$AA21)^$L$6+$Y$7/(1+$AA21)^$L$7+$Y$8/(1+$AA21)^$L$8)+($S$14*$AG$23)/(1+$AA21)^$L$8</f>
        <v>80.900384532795073</v>
      </c>
      <c r="AF21" s="152">
        <f>($Y$4/(1+$AA21)^$L$4+$Y$5/(1+$AA21)^$L$5+$Y$6/(1+$AA21)^$L$6+$Y$7/(1+$AA21)^$L$7+$Y$8/(1+$AA21)^$L$8)+($S$15*$AG$23)/(1+$AA21)^$L$8</f>
        <v>79.937684793575357</v>
      </c>
      <c r="AG21" s="232"/>
    </row>
    <row r="22" spans="1:33" ht="15" customHeight="1" x14ac:dyDescent="0.25">
      <c r="A22" s="233"/>
      <c r="B22" s="144">
        <f>$I$10</f>
        <v>5.5235167163916743E-2</v>
      </c>
      <c r="C22" s="143">
        <f>($Y$4/(1+$B22)^$L$4+$Y$5/(1+$B22)^$L$5+$Y$6/(1+$B22)^$L$6+$Y$7/(1+$B22)^$L$7+$Y$8/(1+$B22)^$L$8)+($Y13/($B22-C$19)/(1+$B22)^$L$8)</f>
        <v>553.76878183025519</v>
      </c>
      <c r="D22" s="143">
        <f>($Y$4/(1+$B22)^$L$4+$Y$5/(1+$B22)^$L$5+$Y$6/(1+$B22)^$L$6+$Y$7/(1+$B22)^$L$7+$Y$8/(1+$B22)^$L$8)+($Y$12/($B22-D$19)/(1+$B22)^$L$8)</f>
        <v>100.67260770978721</v>
      </c>
      <c r="E22" s="143">
        <f>($Y$4/(1+$B22)^$L$4+$Y$5/(1+$B22)^$L$5+$Y$6/(1+$B22)^$L$6+$Y$7/(1+$B22)^$L$7+$Y$8/(1+$B22)^$L$8)+($Y$13/($B22-E$19)/(1+$B22)^$L$8)</f>
        <v>101.95881357984889</v>
      </c>
      <c r="F22" s="143">
        <f>($Y$4/(1+$B22)^$L$4+$Y$5/(1+$B22)^$L$5+$Y$6/(1+$B22)^$L$6+$Y$7/(1+$B22)^$L$7+$Y$8/(1+$B22)^$L$8)+($Y$14/($B22-F$19)/(1+$B22)^$L$8)</f>
        <v>102.51495004846393</v>
      </c>
      <c r="G22" s="143">
        <f>($Y$4/(1+$B22)^$L$4+$Y$5/(1+$B22)^$L$5+$Y$6/(1+$B22)^$L$6+$Y$7/(1+$B22)^$L$7+$Y$8/(1+$B22)^$L$8)+($Y$15/($B22-G$19)/(1+$B22)^$L$8)</f>
        <v>102.82519974203991</v>
      </c>
      <c r="H22" s="222"/>
      <c r="J22" s="146">
        <f>$I$10</f>
        <v>5.5235167163916743E-2</v>
      </c>
      <c r="K22" s="147">
        <f>($Y$4/(1+$J22)^$L$4+$Y$5/(1+$J22)^$L$5+$Y$6/(1+$J22)^$L$6+$Y$7/(1+$J22)^$L$7+$Y$8/(1+$J22)^$L$8)+($V$11*(1-K$19/($AA$11-$I$3-$I$3))/($J22-K$19)/(1+$J22)^$L$8)</f>
        <v>-4214.3125894764789</v>
      </c>
      <c r="L22" s="147">
        <f>($Y$4/(1+$J22)^$L$4+$Y$5/(1+$J22)^$L$5+$Y$6/(1+$J22)^$L$6+$Y$7/(1+$J22)^$L$7+$Y$8/(1+$J22)^$L$8)+($V$12*(1-L$19/($AA$12-$I$3-$I$3))/($J22-L$19)/(1+$J22)^$L$8)</f>
        <v>-1069.3568071962652</v>
      </c>
      <c r="M22" s="147">
        <f>($Y$4/(1+$J22)^$L$4+$Y$5/(1+$J22)^$L$5+$Y$6/(1+$J22)^$L$6+$Y$7/(1+$J22)^$L$7+$Y$8/(1+$J22)^$L$8)+($V$13*(1-M$19/($AA$13-$I$3-$I$3))/($J22-M$19)/(1+$J22)^$L$8)</f>
        <v>-421.28178079575298</v>
      </c>
      <c r="N22" s="147">
        <f>($Y$4/(1+$J22)^$L$4+$Y$5/(1+$J22)^$L$5+$Y$6/(1+$J22)^$L$6+$Y$7/(1+$J22)^$L$7+$Y$8/(1+$J22)^$L$8)+($V$14*(1-N$19/($AA$14-$I$3-$I$3))/($J22-N$19)/(1+$J22)^$L$8)</f>
        <v>-144.18805511070434</v>
      </c>
      <c r="O22" s="147">
        <f>($Y$4/(1+$J22)^$L$4+$Y$5/(1+$J22)^$L$5+$Y$6/(1+$J22)^$L$6+$Y$7/(1+$J22)^$L$7+$Y$8/(1+$J22)^$L$8)+($V$15*(1-O$19/($AA$15-$I$3 -$I$3))/($J22-O$19)/(1+$J22)^$L$8)</f>
        <v>7.9594730593330496</v>
      </c>
      <c r="P22" s="235">
        <f>$AA$11-$I$3-$I$3</f>
        <v>1.1974417916562289E-2</v>
      </c>
      <c r="Q22" s="165"/>
      <c r="R22" s="234"/>
      <c r="S22" s="149">
        <f>$I$10</f>
        <v>5.5235167163916743E-2</v>
      </c>
      <c r="T22" s="150">
        <f t="shared" si="3"/>
        <v>28.163840236640837</v>
      </c>
      <c r="U22" s="150">
        <f t="shared" si="4"/>
        <v>11.370576491568755</v>
      </c>
      <c r="V22" s="150">
        <f t="shared" si="5"/>
        <v>-54.553679962365806</v>
      </c>
      <c r="W22" s="150">
        <f t="shared" si="6"/>
        <v>-403.3184790961505</v>
      </c>
      <c r="X22" s="150">
        <f t="shared" si="7"/>
        <v>582.18766956751256</v>
      </c>
      <c r="Y22" s="236">
        <f>'Mkt Val without BOP'!$J$7-$I$2-$I$2</f>
        <v>1.5235167163916739E-2</v>
      </c>
      <c r="Z22" s="13"/>
      <c r="AA22" s="154">
        <f>$I$10</f>
        <v>5.5235167163916743E-2</v>
      </c>
      <c r="AB22" s="152">
        <f>($Y$4/(1+$AA22)^$L$4+$Y$5/(1+$AA22)^$L$5+$Y$6/(1+$AA22)^$L$6+$Y$7/(1+$AA22)^$L$7+$Y$8/(1+$AA22)^$L$8)+($S$11*$AG$23)/(1+$AA22)^$L$8</f>
        <v>75.554309872651174</v>
      </c>
      <c r="AC22" s="152">
        <f>($Y$4/(1+$AA22)^$L$4+$Y$5/(1+$AA22)^$L$5+$Y$6/(1+$AA22)^$L$6+$Y$7/(1+$AA22)^$L$7+$Y$8/(1+$AA22)^$L$8)+($S$12*$AG$23)/(1+$AA22)^$L$8</f>
        <v>74.679447665046254</v>
      </c>
      <c r="AD22" s="152">
        <f>($Y$4/(1+$AA22)^$L$4+$Y$5/(1+$AA22)^$L$5+$Y$6/(1+$AA22)^$L$6+$Y$7/(1+$AA22)^$L$7+$Y$8/(1+$AA22)^$L$8)+($S$13*$AG$23)/(1+$AA22)^$L$8</f>
        <v>73.804585457441007</v>
      </c>
      <c r="AE22" s="152">
        <f>($Y$4/(1+$AA22)^$L$4+$Y$5/(1+$AA22)^$L$5+$Y$6/(1+$AA22)^$L$6+$Y$7/(1+$AA22)^$L$7+$Y$8/(1+$AA22)^$L$8)+($S$14*$AG$23)/(1+$AA22)^$L$8</f>
        <v>72.929723249835746</v>
      </c>
      <c r="AF22" s="152">
        <f>($Y$4/(1+$AA22)^$L$4+$Y$5/(1+$AA22)^$L$5+$Y$6/(1+$AA22)^$L$6+$Y$7/(1+$AA22)^$L$7+$Y$8/(1+$AA22)^$L$8)+($S$15*$AG$23)/(1+$AA22)^$L$8</f>
        <v>72.05486104223084</v>
      </c>
      <c r="AG22" s="232"/>
    </row>
    <row r="23" spans="1:33" ht="15" customHeight="1" x14ac:dyDescent="0.25">
      <c r="A23" s="233"/>
      <c r="B23" s="144">
        <f>B22+$I$2</f>
        <v>7.5235167163916747E-2</v>
      </c>
      <c r="C23" s="143">
        <f>($Y$4/(1+$B23)^$L$4+$Y$5/(1+$B23)^$L$5+$Y$6/(1+$B23)^$L$6+$Y$7/(1+$B23)^$L$7+$Y$8/(1+$B23)^$L$8)+($Y14/($B23-C$19)/(1+$B23)^$L$8)</f>
        <v>135.63840938556078</v>
      </c>
      <c r="D23" s="143">
        <f>($Y$4/(1+$B23)^$L$4+$Y$5/(1+$B23)^$L$5+$Y$6/(1+$B23)^$L$6+$Y$7/(1+$B23)^$L$7+$Y$8/(1+$B23)^$L$8)+($Y$12/($B23-D$19)/(1+$B23)^$L$8)</f>
        <v>30.645681583762055</v>
      </c>
      <c r="E23" s="143">
        <f>($Y$4/(1+$B23)^$L$4+$Y$5/(1+$B23)^$L$5+$Y$6/(1+$B23)^$L$6+$Y$7/(1+$B23)^$L$7+$Y$8/(1+$B23)^$L$8)+($Y$13/($B23-E$19)/(1+$B23)^$L$8)</f>
        <v>44.662216406894402</v>
      </c>
      <c r="F23" s="143">
        <f>($Y$4/(1+$B23)^$L$4+$Y$5/(1+$B23)^$L$5+$Y$6/(1+$B23)^$L$6+$Y$7/(1+$B23)^$L$7+$Y$8/(1+$B23)^$L$8)+($Y$14/($B23-F$19)/(1+$B23)^$L$8)</f>
        <v>53.603529937933381</v>
      </c>
      <c r="G23" s="143">
        <f>($Y$4/(1+$B23)^$L$4+$Y$5/(1+$B23)^$L$5+$Y$6/(1+$B23)^$L$6+$Y$7/(1+$B23)^$L$7+$Y$8/(1+$B23)^$L$8)+($Y$15/($B23-G$19)/(1+$B23)^$L$8)</f>
        <v>59.803587818144784</v>
      </c>
      <c r="H23" s="222"/>
      <c r="J23" s="146">
        <f>J22+$I$2</f>
        <v>7.5235167163916747E-2</v>
      </c>
      <c r="K23" s="147">
        <f>($Y$4/(1+$J23)^$L$4+$Y$5/(1+$J23)^$L$5+$Y$6/(1+$J23)^$L$6+$Y$7/(1+$J23)^$L$7+$Y$8/(1+$J23)^$L$8)+($V$11*(1-K$19/($AA$11-$I$3-$I$3))/($J23-K$19)/(1+$J23)^$L$8)</f>
        <v>-808.26181065912147</v>
      </c>
      <c r="L23" s="147">
        <f>($Y$4/(1+$J23)^$L$4+$Y$5/(1+$J23)^$L$5+$Y$6/(1+$J23)^$L$6+$Y$7/(1+$J23)^$L$7+$Y$8/(1+$J23)^$L$8)+($V$12*(1-L$19/($AA$12-$I$3-$I$3))/($J23-L$19)/(1+$J23)^$L$8)</f>
        <v>-429.92538096536163</v>
      </c>
      <c r="M23" s="147">
        <f>($Y$4/(1+$J23)^$L$4+$Y$5/(1+$J23)^$L$5+$Y$6/(1+$J23)^$L$6+$Y$7/(1+$J23)^$L$7+$Y$8/(1+$J23)^$L$8)+($V$13*(1-M$19/($AA$13-$I$3-$I$3))/($J23-M$19)/(1+$J23)^$L$8)</f>
        <v>-221.07990459589658</v>
      </c>
      <c r="N23" s="147">
        <f>($Y$4/(1+$J23)^$L$4+$Y$5/(1+$J23)^$L$5+$Y$6/(1+$J23)^$L$6+$Y$7/(1+$J23)^$L$7+$Y$8/(1+$J23)^$L$8)+($V$14*(1-N$19/($AA$14-$I$3-$I$3))/($J23-N$19)/(1+$J23)^$L$8)</f>
        <v>-89.669380622193074</v>
      </c>
      <c r="O23" s="147">
        <f>($Y$4/(1+$J23)^$L$4+$Y$5/(1+$J23)^$L$5+$Y$6/(1+$J23)^$L$6+$Y$7/(1+$J23)^$L$7+$Y$8/(1+$J23)^$L$8)+($V$15*(1-O$19/($AA$15-$I$3 -$I$3))/($J23-O$19)/(1+$J23)^$L$8)</f>
        <v>-8.3437018442422684E-2</v>
      </c>
      <c r="P23" s="235"/>
      <c r="Q23" s="165"/>
      <c r="R23" s="234"/>
      <c r="S23" s="149">
        <f>S22+$I$2</f>
        <v>7.5235167163916747E-2</v>
      </c>
      <c r="T23" s="150">
        <f t="shared" si="3"/>
        <v>-60.788431731442216</v>
      </c>
      <c r="U23" s="150">
        <f t="shared" si="4"/>
        <v>-58.656349634456411</v>
      </c>
      <c r="V23" s="150">
        <f t="shared" si="5"/>
        <v>-111.85027713532031</v>
      </c>
      <c r="W23" s="150">
        <f t="shared" si="6"/>
        <v>-452.22989920668101</v>
      </c>
      <c r="X23" s="150">
        <f t="shared" si="7"/>
        <v>539.16605764361748</v>
      </c>
      <c r="Y23" s="236"/>
      <c r="Z23" s="13"/>
      <c r="AA23" s="154">
        <f>AA22+$I$2</f>
        <v>7.5235167163916747E-2</v>
      </c>
      <c r="AB23" s="152">
        <f>($Y$4/(1+$AA23)^$L$4+$Y$5/(1+$AA23)^$L$5+$Y$6/(1+$AA23)^$L$6+$Y$7/(1+$AA23)^$L$7+$Y$8/(1+$AA23)^$L$8)+($S$11*$AG$23)/(1+$AA23)^$L$8</f>
        <v>68.227265431444806</v>
      </c>
      <c r="AC23" s="152">
        <f>($Y$4/(1+$AA23)^$L$4+$Y$5/(1+$AA23)^$L$5+$Y$6/(1+$AA23)^$L$6+$Y$7/(1+$AA23)^$L$7+$Y$8/(1+$AA23)^$L$8)+($S$12*$AG$23)/(1+$AA23)^$L$8</f>
        <v>67.430796872417091</v>
      </c>
      <c r="AD23" s="152">
        <f>($Y$4/(1+$AA23)^$L$4+$Y$5/(1+$AA23)^$L$5+$Y$6/(1+$AA23)^$L$6+$Y$7/(1+$AA23)^$L$7+$Y$8/(1+$AA23)^$L$8)+($S$13*$AG$23)/(1+$AA23)^$L$8</f>
        <v>66.634328313389062</v>
      </c>
      <c r="AE23" s="152">
        <f>($Y$4/(1+$AA23)^$L$4+$Y$5/(1+$AA23)^$L$5+$Y$6/(1+$AA23)^$L$6+$Y$7/(1+$AA23)^$L$7+$Y$8/(1+$AA23)^$L$8)+($S$14*$AG$23)/(1+$AA23)^$L$8</f>
        <v>65.837859754361062</v>
      </c>
      <c r="AF23" s="152">
        <f>($Y$4/(1+$AA23)^$L$4+$Y$5/(1+$AA23)^$L$5+$Y$6/(1+$AA23)^$L$6+$Y$7/(1+$AA23)^$L$7+$Y$8/(1+$AA23)^$L$8)+($S$15*$AG$23)/(1+$AA23)^$L$8</f>
        <v>65.041391195333347</v>
      </c>
      <c r="AG23" s="237">
        <f>'Fin Stmt'!P44-'Val Matrix - WACC'!I7-I7</f>
        <v>8.7603347895129797</v>
      </c>
    </row>
    <row r="24" spans="1:33" ht="15" customHeight="1" x14ac:dyDescent="0.25">
      <c r="A24" s="233"/>
      <c r="B24" s="144">
        <f>B23+$I$2</f>
        <v>9.5235167163916751E-2</v>
      </c>
      <c r="C24" s="143">
        <f>($Y$4/(1+$B24)^$L$4+$Y$5/(1+$B24)^$L$5+$Y$6/(1+$B24)^$L$6+$Y$7/(1+$B24)^$L$7+$Y$8/(1+$B24)^$L$8)+($Y15/($B24-C$19)/(1+$B24)^$L$8)</f>
        <v>84.335890021870213</v>
      </c>
      <c r="D24" s="143">
        <f>($Y$4/(1+$B24)^$L$4+$Y$5/(1+$B24)^$L$5+$Y$6/(1+$B24)^$L$6+$Y$7/(1+$B24)^$L$7+$Y$8/(1+$B24)^$L$8)+($Y$12/($B24-D$19)/(1+$B24)^$L$8)</f>
        <v>12.215402336405774</v>
      </c>
      <c r="E24" s="143">
        <f>($Y$4/(1+$B24)^$L$4+$Y$5/(1+$B24)^$L$5+$Y$6/(1+$B24)^$L$6+$Y$7/(1+$B24)^$L$7+$Y$8/(1+$B24)^$L$8)+($Y$13/($B24-E$19)/(1+$B24)^$L$8)</f>
        <v>23.409992045272631</v>
      </c>
      <c r="F24" s="143">
        <f>($Y$4/(1+$B24)^$L$4+$Y$5/(1+$B24)^$L$5+$Y$6/(1+$B24)^$L$6+$Y$7/(1+$B24)^$L$7+$Y$8/(1+$B24)^$L$8)+($Y$14/($B24-F$19)/(1+$B24)^$L$8)</f>
        <v>31.628688928786431</v>
      </c>
      <c r="G24" s="143">
        <f>($Y$4/(1+$B24)^$L$4+$Y$5/(1+$B24)^$L$5+$Y$6/(1+$B24)^$L$6+$Y$7/(1+$B24)^$L$7+$Y$8/(1+$B24)^$L$8)+($Y$15/($B24-G$19)/(1+$B24)^$L$8)</f>
        <v>37.918910241246863</v>
      </c>
      <c r="H24" s="222"/>
      <c r="J24" s="146">
        <f>J23+$I$2</f>
        <v>9.5235167163916751E-2</v>
      </c>
      <c r="K24" s="147">
        <f>($Y$4/(1+$J24)^$L$4+$Y$5/(1+$J24)^$L$5+$Y$6/(1+$J24)^$L$6+$Y$7/(1+$J24)^$L$7+$Y$8/(1+$J24)^$L$8)+($V$11*(1-K$19/($AA$11-$I$3-$I$3))/($J24-K$19)/(1+$J24)^$L$8)</f>
        <v>-417.94608772719369</v>
      </c>
      <c r="L24" s="147">
        <f>($Y$4/(1+$J24)^$L$4+$Y$5/(1+$J24)^$L$5+$Y$6/(1+$J24)^$L$6+$Y$7/(1+$J24)^$L$7+$Y$8/(1+$J24)^$L$8)+($V$12*(1-L$19/($AA$12-$I$3-$I$3))/($J24-L$19)/(1+$J24)^$L$8)</f>
        <v>-255.72469536089972</v>
      </c>
      <c r="M24" s="147">
        <f>($Y$4/(1+$J24)^$L$4+$Y$5/(1+$J24)^$L$5+$Y$6/(1+$J24)^$L$6+$Y$7/(1+$J24)^$L$7+$Y$8/(1+$J24)^$L$8)+($V$13*(1-M$19/($AA$13-$I$3-$I$3))/($J24-M$19)/(1+$J24)^$L$8)</f>
        <v>-144.63873103202468</v>
      </c>
      <c r="N24" s="147">
        <f>($Y$4/(1+$J24)^$L$4+$Y$5/(1+$J24)^$L$5+$Y$6/(1+$J24)^$L$6+$Y$7/(1+$J24)^$L$7+$Y$8/(1+$J24)^$L$8)+($V$14*(1-N$19/($AA$14-$I$3-$I$3))/($J24-N$19)/(1+$J24)^$L$8)</f>
        <v>-64.297958379684417</v>
      </c>
      <c r="O24" s="147">
        <f>($Y$4/(1+$J24)^$L$4+$Y$5/(1+$J24)^$L$5+$Y$6/(1+$J24)^$L$6+$Y$7/(1+$J24)^$L$7+$Y$8/(1+$J24)^$L$8)+($V$15*(1-O$19/($AA$15-$I$3 -$I$3))/($J24-O$19)/(1+$J24)^$L$8)</f>
        <v>-3.8810722902009029</v>
      </c>
      <c r="P24" s="235"/>
      <c r="Q24" s="165"/>
      <c r="R24" s="234"/>
      <c r="S24" s="149">
        <f>S23+$I$2</f>
        <v>9.5235167163916751E-2</v>
      </c>
      <c r="T24" s="150">
        <f>($Y$4/(1+$S24)^$L$4+$Y$5/(1+$S24)^$L$5+$Y$6/(1+$S24)^$L$6+$Y$7/(1+$S24)^$L$7+$Y$8/(1+$S24)^$L$8)+($Y$11/($S24-T$19)/(1+$S24)^$L$8)+($Z$4/(1+$Y$22)^$L$4+$Z$5/(1+$Y$22)^$L$5+$Z$6/(1+$Y$22)^$L$6+$Z$7/(1+$Y$22)^$L$7+$Z$8/(1+$Y$22)^$L$8)+($Z$11/($Y$22-T$19)/(1+$Y22)^$L$8)</f>
        <v>-64.68603986872084</v>
      </c>
      <c r="U24" s="150">
        <f t="shared" si="4"/>
        <v>-77.086628881812686</v>
      </c>
      <c r="V24" s="150">
        <f t="shared" si="5"/>
        <v>-133.10250149694207</v>
      </c>
      <c r="W24" s="150">
        <f t="shared" si="6"/>
        <v>-474.204740215828</v>
      </c>
      <c r="X24" s="150">
        <f t="shared" si="7"/>
        <v>517.28138006671952</v>
      </c>
      <c r="Y24" s="236"/>
      <c r="Z24" s="13"/>
      <c r="AA24" s="154">
        <f>AA23+$I$2</f>
        <v>9.5235167163916751E-2</v>
      </c>
      <c r="AB24" s="152">
        <f>($Y$4/(1+$AA24)^$L$4+$Y$5/(1+$AA24)^$L$5+$Y$6/(1+$AA24)^$L$6+$Y$7/(1+$AA24)^$L$7+$Y$8/(1+$AA24)^$L$8)+($S$11*$AG$23)/(1+$AA24)^$L$8</f>
        <v>61.69420785620791</v>
      </c>
      <c r="AC24" s="152">
        <f>($Y$4/(1+$AA24)^$L$4+$Y$5/(1+$AA24)^$L$5+$Y$6/(1+$AA24)^$L$6+$Y$7/(1+$AA24)^$L$7+$Y$8/(1+$AA24)^$L$8)+($S$12*$AG$23)/(1+$AA24)^$L$8</f>
        <v>60.967852679013077</v>
      </c>
      <c r="AD24" s="152">
        <f>($Y$4/(1+$AA24)^$L$4+$Y$5/(1+$AA24)^$L$5+$Y$6/(1+$AA24)^$L$6+$Y$7/(1+$AA24)^$L$7+$Y$8/(1+$AA24)^$L$8)+($S$13*$AG$23)/(1+$AA24)^$L$8</f>
        <v>60.241497501817989</v>
      </c>
      <c r="AE24" s="152">
        <f>($Y$4/(1+$AA24)^$L$4+$Y$5/(1+$AA24)^$L$5+$Y$6/(1+$AA24)^$L$6+$Y$7/(1+$AA24)^$L$7+$Y$8/(1+$AA24)^$L$8)+($S$14*$AG$23)/(1+$AA24)^$L$8</f>
        <v>59.515142324622886</v>
      </c>
      <c r="AF24" s="152">
        <f>($Y$4/(1+$AA24)^$L$4+$Y$5/(1+$AA24)^$L$5+$Y$6/(1+$AA24)^$L$6+$Y$7/(1+$AA24)^$L$7+$Y$8/(1+$AA24)^$L$8)+($S$15*$AG$23)/(1+$AA24)^$L$8</f>
        <v>58.788787147428067</v>
      </c>
      <c r="AG24" s="237"/>
    </row>
    <row r="25" spans="1:33" ht="15" customHeight="1" x14ac:dyDescent="0.25">
      <c r="B25" s="133"/>
      <c r="C25" s="83"/>
      <c r="J25" s="155"/>
      <c r="L25" s="159"/>
      <c r="R25" s="24"/>
      <c r="S25" s="24"/>
      <c r="T25" s="24"/>
      <c r="U25" s="24"/>
      <c r="V25" s="24"/>
      <c r="W25" s="24"/>
      <c r="X25" s="24"/>
      <c r="Y25" s="24"/>
      <c r="Z25" s="13"/>
      <c r="AA25" s="93"/>
      <c r="AB25" s="93"/>
      <c r="AC25" s="93"/>
      <c r="AD25" s="93"/>
      <c r="AE25" s="93"/>
      <c r="AF25" s="93"/>
      <c r="AG25" s="93"/>
    </row>
    <row r="26" spans="1:33" ht="15" customHeight="1" x14ac:dyDescent="0.25">
      <c r="B26" s="145"/>
      <c r="C26" s="146">
        <f>D26+$I$5</f>
        <v>0.05</v>
      </c>
      <c r="D26" s="146">
        <f>E26+$I$5</f>
        <v>0.04</v>
      </c>
      <c r="E26" s="146">
        <f>$I$11</f>
        <v>0.03</v>
      </c>
      <c r="F26" s="146">
        <f>E26-$I$5</f>
        <v>1.9999999999999997E-2</v>
      </c>
      <c r="G26" s="146">
        <f>F26-$I$5</f>
        <v>9.9999999999999967E-3</v>
      </c>
      <c r="H26" s="223" t="s">
        <v>218</v>
      </c>
      <c r="J26" s="145"/>
      <c r="K26" s="146">
        <f>L26+$I$5</f>
        <v>0.05</v>
      </c>
      <c r="L26" s="146">
        <f>M26+$I$5</f>
        <v>0.04</v>
      </c>
      <c r="M26" s="146">
        <f>$I$11</f>
        <v>0.03</v>
      </c>
      <c r="N26" s="146">
        <f>M26-$I$5</f>
        <v>1.9999999999999997E-2</v>
      </c>
      <c r="O26" s="146">
        <f>N26-$I$5</f>
        <v>9.9999999999999967E-3</v>
      </c>
      <c r="P26" s="230" t="s">
        <v>223</v>
      </c>
      <c r="Q26" s="164"/>
      <c r="R26" s="24"/>
      <c r="S26" s="24"/>
      <c r="T26" s="149">
        <f>U26+$I$5</f>
        <v>0.05</v>
      </c>
      <c r="U26" s="149">
        <f>V26+$I$5</f>
        <v>0.04</v>
      </c>
      <c r="V26" s="149">
        <f>$I$11</f>
        <v>0.03</v>
      </c>
      <c r="W26" s="149">
        <f>V26-$I$5</f>
        <v>1.9999999999999997E-2</v>
      </c>
      <c r="X26" s="149">
        <f>W26-$I$5</f>
        <v>9.9999999999999967E-3</v>
      </c>
      <c r="Y26" s="231" t="s">
        <v>227</v>
      </c>
      <c r="Z26" s="13"/>
      <c r="AA26" s="93"/>
      <c r="AB26" s="154">
        <f>AC26+$I$5</f>
        <v>0.05</v>
      </c>
      <c r="AC26" s="154">
        <f>AD26+$I$5</f>
        <v>0.04</v>
      </c>
      <c r="AD26" s="154">
        <f>$I$11</f>
        <v>0.03</v>
      </c>
      <c r="AE26" s="154">
        <f>AD26-$I$5</f>
        <v>1.9999999999999997E-2</v>
      </c>
      <c r="AF26" s="154">
        <f>AE26-$I$5</f>
        <v>9.9999999999999967E-3</v>
      </c>
      <c r="AG26" s="232" t="s">
        <v>225</v>
      </c>
    </row>
    <row r="27" spans="1:33" ht="15" customHeight="1" x14ac:dyDescent="0.25">
      <c r="A27" s="238" t="s">
        <v>210</v>
      </c>
      <c r="B27" s="146">
        <f>B28-$I$2</f>
        <v>1.5235167163916739E-2</v>
      </c>
      <c r="C27" s="147">
        <f>($Y$4/(1+$B27)^$L$4+$Y$5/(1+$B27)^$L$5+$Y$6/(1+$B27)^$L$6+$Y$7/(1+$B27)^$L$7+$Y$8/(1+$B27)^$L$8)+($V$11*(1-C$26/$AA$11)/($B27-C$26)/(1+$B27)^$L$8)</f>
        <v>-27.552932281867015</v>
      </c>
      <c r="D27" s="147">
        <f>($Y$4/(1+$B27)^$L$4+$Y$5/(1+$B27)^$L$5+$Y$6/(1+$B27)^$L$6+$Y$7/(1+$B27)^$L$7+$Y$8/(1+$B27)^$L$8)+($V$12*(1-D$26/$AA$12)/($B27-D$26)/(1+$B27)^$L$8)</f>
        <v>-95.742546280011936</v>
      </c>
      <c r="E27" s="147">
        <f>($Y$4/(1+$B27)^$L$4+$Y$5/(1+$B27)^$L$5+$Y$6/(1+$B27)^$L$6+$Y$7/(1+$B27)^$L$7+$Y$8/(1+$B27)^$L$8)+($V$13*(1-E$26/$AA$13)/($B27-E$26)/(1+$B27)^$L$8)</f>
        <v>-254.21581539699471</v>
      </c>
      <c r="F27" s="147">
        <f>($Y$4/(1+$B27)^$L$4+$Y$5/(1+$B27)^$L$5+$Y$6/(1+$B27)^$L$6+$Y$7/(1+$B27)^$L$7+$Y$8/(1+$B27)^$L$8)+($V$14*(1-F$26/$AA$14)/($B27-F$26)/(1+$B27)^$L$8)</f>
        <v>-1071.4102371781837</v>
      </c>
      <c r="G27" s="147">
        <f>($Y$4/(1+$B27)^$L$4+$Y$5/(1+$B27)^$L$5+$Y$6/(1+$B27)^$L$6+$Y$7/(1+$B27)^$L$7+$Y$8/(1+$B27)^$L$8)+($V$15*(1-G$26/$AA$15)/($B27-G$26)/(1+$B27)^$L$8)</f>
        <v>1227.4599709838571</v>
      </c>
      <c r="H27" s="223"/>
      <c r="J27" s="146">
        <f>J28-$I$2</f>
        <v>1.5235167163916739E-2</v>
      </c>
      <c r="K27" s="147">
        <f>($Y$4/(1+$J27)^$L$4+$Y$5/(1+$J27)^$L$5+$Y$6/(1+$J27)^$L$6+$Y$7/(1+$J27)^$L$7+$Y$8/(1+$J27)^$L$8)+($V$11*(1-K$26/($AA$11-$I$3))/($J27-K$26)/(1+$J27)^$L$8)</f>
        <v>117.7695395745464</v>
      </c>
      <c r="L27" s="147">
        <f>($Y$4/(1+$J27)^$L$4+$Y$5/(1+$J27)^$L$5+$Y$6/(1+$J27)^$L$6+$Y$7/(1+$J27)^$L$7+$Y$8/(1+$J27)^$L$8)+($V$12*(1-L$26/($AA$12-$I$3))/($J27-L$26)/(1+$J27)^$L$8)</f>
        <v>65.905905053364634</v>
      </c>
      <c r="M27" s="147">
        <f>($Y$4/(1+$J27)^$L$4+$Y$5/(1+$J27)^$L$5+$Y$6/(1+$J27)^$L$6+$Y$7/(1+$J27)^$L$7+$Y$8/(1+$J27)^$L$8)+($V$13*(1-M$26/($AA$13-$I$3))/($J27-M$26)/(1+$J27)^$L$8)</f>
        <v>-52.823190002106642</v>
      </c>
      <c r="N27" s="147">
        <f>($Y$4/(1+$J27)^$L$4+$Y$5/(1+$J27)^$L$5+$Y$6/(1+$J27)^$L$6+$Y$7/(1+$J27)^$L$7+$Y$8/(1+$J27)^$L$8)+($V$14*(1-N$26/($AA$14-$I$3))/($J27-N$26)/(1+$J27)^$L$8)</f>
        <v>-659.41127989551171</v>
      </c>
      <c r="O27" s="147">
        <f>($Y$4/(1+$J27)^$L$4+$Y$5/(1+$J27)^$L$5+$Y$6/(1+$J27)^$L$6+$Y$7/(1+$J27)^$L$7+$Y$8/(1+$J27)^$L$8)+($V$15*(1-O$26/($AA$15-$I$3))/($J27-O$26)/(1+$J27)^$L$8)</f>
        <v>1041.805916356328</v>
      </c>
      <c r="P27" s="230"/>
      <c r="Q27" s="164"/>
      <c r="R27" s="234" t="s">
        <v>233</v>
      </c>
      <c r="S27" s="149">
        <f>S28-$I$2</f>
        <v>1.5235167163916739E-2</v>
      </c>
      <c r="T27" s="150">
        <f>($Y$4/(1+$S27)^$L$4+$Y$5/(1+$S27)^$L$5+$Y$6/(1+$S27)^$L$6+$Y$7/(1+$S27)^$L$7+$Y$8/(1+$S27)^$L$8)+($Y$11/($S27-T$26)/(1+$S27)^$L$8)+($Z$4/(1+$Y$29)^$L$4+$Z$5/(1+$Y$29)^$L$5+$Z$6/(1+$Y$29)^$L$6+$Z$7/(1+$Y$29)^$L$7+$Z$8/(1+$Y$29)^$L$8)+($Z$11/($Y$29-T$26)/(1+$Y$29)^$L$8)</f>
        <v>-180.24572243542147</v>
      </c>
      <c r="U27" s="150">
        <f>($Y$4/(1+$S27)^$L$4+$Y$5/(1+$S27)^$L$5+$Y$6/(1+$S27)^$L$6+$Y$7/(1+$S27)^$L$7+$Y$8/(1+$S27)^$L$8)+($Y$12/($S27-U$26)/(1+$S27)^$L$8)+($Z$4/(1+$Y$29)^$L$4+$Z$5/(1+$Y$29)^$L$5+$Z$6/(1+$Y$29)^$L$6+$Z$7/(1+$Y$29)^$L$7+$Z$8/(1+$Y$29)^$L$8)+($Z$12/($Y$29-U$26)/(1+$Y$29)^$L$8)</f>
        <v>-564.16827257973466</v>
      </c>
      <c r="V27" s="150">
        <f>($Y$4/(1+$S27)^$L$4+$Y$5/(1+$S27)^$L$5+$Y$6/(1+$S27)^$L$6+$Y$7/(1+$S27)^$L$7+$Y$8/(1+$S27)^$L$8)+($Y$13/($S27-V$26)/(1+$S27)^$L$8)+($Z$4/(1+$Y$29)^$L$4+$Z$5/(1+$Y$29)^$L$5+$Z$6/(1+$Y$29)^$L$6+$Z$7/(1+$Y$29)^$L$7+$Z$8/(1+$Y$29)^$L$8)+($Z$13/($Y$29-V$26)/(1+$Y$29)^$L$8)</f>
        <v>171.55656824126498</v>
      </c>
      <c r="W27" s="150">
        <f>($Y$4/(1+$S27)^$L$4+$Y$5/(1+$S27)^$L$5+$Y$6/(1+$S27)^$L$6+$Y$7/(1+$S27)^$L$7+$Y$8/(1+$S27)^$L$8)+($Y$14/($S27-W$26)/(1+$S27)^$L$8)+($Z$4/(1+$Y$29)^$L$4+$Z$5/(1+$Y$29)^$L$5+$Z$6/(1+$Y$29)^$L$6+$Z$7/(1+$Y$29)^$L$7+$Z$8/(1+$Y$29)^$L$8)+($Z$14/($Y$29-W$26)/(1+$Y$29)^$L$8)</f>
        <v>-928.66194284943867</v>
      </c>
      <c r="X27" s="150">
        <f>($Y$4/(1+$S27)^$L$4+$Y$5/(1+$S27)^$L$5+$Y$6/(1+$S27)^$L$6+$Y$7/(1+$S27)^$L$7+$Y$8/(1+$S27)^$L$8)+($Y$15/($S27-X$26)/(1+$S27)^$L$8)+($Z$4/(1+$Y$29)^$L$4+$Z$5/(1+$Y$29)^$L$5+$Z$6/(1+$Y$29)^$L$6+$Z$7/(1+$Y$29)^$L$7+$Z$8/(1+$Y$29)^$L$8)+($Z$15/($Y$29-X$26)/(1+$Y$29)^$L$8)</f>
        <v>1328.0811076309831</v>
      </c>
      <c r="Y27" s="231"/>
      <c r="Z27" s="184"/>
      <c r="AA27" s="154">
        <f>AA28-$I$2</f>
        <v>1.5235167163916739E-2</v>
      </c>
      <c r="AB27" s="152">
        <f>($Y$4/(1+$AA27)^$L$4+$Y$5/(1+$AA27)^$L$5+$Y$6/(1+$AA27)^$L$6+$Y$7/(1+$AA27)^$L$7+$Y$8/(1+$AA27)^$L$8)+($S$11*$AG$30)/(1+$AA27)^$L$8</f>
        <v>118.50362441691044</v>
      </c>
      <c r="AC27" s="152">
        <f>($Y$4/(1+$AA27)^$L$4+$Y$5/(1+$AA27)^$L$5+$Y$6/(1+$AA27)^$L$6+$Y$7/(1+$AA27)^$L$7+$Y$8/(1+$AA27)^$L$8)+($S$12*$AG$30)/(1+$AA27)^$L$8</f>
        <v>117.19998419263356</v>
      </c>
      <c r="AD27" s="152">
        <f>($Y$4/(1+$AA27)^$L$4+$Y$5/(1+$AA27)^$L$5+$Y$6/(1+$AA27)^$L$6+$Y$7/(1+$AA27)^$L$7+$Y$8/(1+$AA27)^$L$8)+($S$13*$AG$30)/(1+$AA27)^$L$8</f>
        <v>115.89634396835621</v>
      </c>
      <c r="AE27" s="152">
        <f>($Y$4/(1+$AA27)^$L$4+$Y$5/(1+$AA27)^$L$5+$Y$6/(1+$AA27)^$L$6+$Y$7/(1+$AA27)^$L$7+$Y$8/(1+$AA27)^$L$8)+($S$14*$AG$30)/(1+$AA27)^$L$8</f>
        <v>114.59270374407885</v>
      </c>
      <c r="AF27" s="152">
        <f>($Y$4/(1+$AA27)^$L$4+$Y$5/(1+$AA27)^$L$5+$Y$6/(1+$AA27)^$L$6+$Y$7/(1+$AA27)^$L$7+$Y$8/(1+$AA27)^$L$8)+($S$15*$AG$30)/(1+$AA27)^$L$8</f>
        <v>113.289063519802</v>
      </c>
      <c r="AG27" s="232"/>
    </row>
    <row r="28" spans="1:33" ht="15" customHeight="1" x14ac:dyDescent="0.25">
      <c r="A28" s="238"/>
      <c r="B28" s="146">
        <f>B29-$I$2</f>
        <v>3.5235167163916739E-2</v>
      </c>
      <c r="C28" s="147">
        <f>($Y$4/(1+$B28)^$L$4+$Y$5/(1+$B28)^$L$5+$Y$6/(1+$B28)^$L$6+$Y$7/(1+$B28)^$L$7+$Y$8/(1+$B28)^$L$8)+($V$11*(1-C$26/$AA$11)/($B28-C$26)/(1+$B28)^$L$8)</f>
        <v>-36.889042833762602</v>
      </c>
      <c r="D28" s="147">
        <f>($Y$4/(1+$B28)^$L$4+$Y$5/(1+$B28)^$L$5+$Y$6/(1+$B28)^$L$6+$Y$7/(1+$B28)^$L$7+$Y$8/(1+$B28)^$L$8)+($V$12*(1-D$26/$AA$12)/($B28-D$26)/(1+$B28)^$L$8)</f>
        <v>-382.0191494765798</v>
      </c>
      <c r="E28" s="147">
        <f>($Y$4/(1+$B28)^$L$4+$Y$5/(1+$B28)^$L$5+$Y$6/(1+$B28)^$L$6+$Y$7/(1+$B28)^$L$7+$Y$8/(1+$B28)^$L$8)+($V$13*(1-E$26/$AA$13)/($B28-E$26)/(1+$B28)^$L$8)</f>
        <v>586.02609510204115</v>
      </c>
      <c r="F28" s="147">
        <f>($Y$4/(1+$B28)^$L$4+$Y$5/(1+$B28)^$L$5+$Y$6/(1+$B28)^$L$6+$Y$7/(1+$B28)^$L$7+$Y$8/(1+$B28)^$L$8)+($V$14*(1-F$26/$AA$14)/($B28-F$26)/(1+$B28)^$L$8)</f>
        <v>281.43584204265329</v>
      </c>
      <c r="G28" s="147">
        <f>($Y$4/(1+$B28)^$L$4+$Y$5/(1+$B28)^$L$5+$Y$6/(1+$B28)^$L$6+$Y$7/(1+$B28)^$L$7+$Y$8/(1+$B28)^$L$8)+($V$15*(1-G$26/$AA$15)/($B28-G$26)/(1+$B28)^$L$8)</f>
        <v>217.1410214693008</v>
      </c>
      <c r="H28" s="223"/>
      <c r="J28" s="146">
        <f>J29-$I$2</f>
        <v>3.5235167163916739E-2</v>
      </c>
      <c r="K28" s="147">
        <f>($Y$4/(1+$J28)^$L$4+$Y$5/(1+$J28)^$L$5+$Y$6/(1+$J28)^$L$6+$Y$7/(1+$J28)^$L$7+$Y$8/(1+$J28)^$L$8)+($V$11*(1-K$26/($AA$11-$I$3))/($J28-K$26)/(1+$J28)^$L$8)</f>
        <v>273.48298198711495</v>
      </c>
      <c r="L28" s="147">
        <f>($Y$4/(1+$J28)^$L$4+$Y$5/(1+$J28)^$L$5+$Y$6/(1+$J28)^$L$6+$Y$7/(1+$J28)^$L$7+$Y$8/(1+$J28)^$L$8)+($V$12*(1-L$26/($AA$12-$I$3))/($J28-L$26)/(1+$J28)^$L$8)</f>
        <v>380.05540721135901</v>
      </c>
      <c r="M28" s="147">
        <f>($Y$4/(1+$J28)^$L$4+$Y$5/(1+$J28)^$L$5+$Y$6/(1+$J28)^$L$6+$Y$7/(1+$J28)^$L$7+$Y$8/(1+$J28)^$L$8)+($V$13*(1-M$26/($AA$13-$I$3))/($J28-M$26)/(1+$J28)^$L$8)</f>
        <v>70.821501946059271</v>
      </c>
      <c r="N28" s="147">
        <f>($Y$4/(1+$J28)^$L$4+$Y$5/(1+$J28)^$L$5+$Y$6/(1+$J28)^$L$6+$Y$7/(1+$J28)^$L$7+$Y$8/(1+$J28)^$L$8)+($V$14*(1-N$26/($AA$14-$I$3))/($J28-N$26)/(1+$J28)^$L$8)</f>
        <v>164.55731114531909</v>
      </c>
      <c r="O28" s="147">
        <f>($Y$4/(1+$J28)^$L$4+$Y$5/(1+$J28)^$L$5+$Y$6/(1+$J28)^$L$6+$Y$7/(1+$J28)^$L$7+$Y$8/(1+$J28)^$L$8)+($V$15*(1-O$26/($AA$15-$I$3))/($J28-O$26)/(1+$J28)^$L$8)</f>
        <v>182.20551945983854</v>
      </c>
      <c r="P28" s="230"/>
      <c r="Q28" s="164"/>
      <c r="R28" s="234"/>
      <c r="S28" s="149">
        <f>S29-$I$2</f>
        <v>3.5235167163916739E-2</v>
      </c>
      <c r="T28" s="150">
        <f>($Y$4/(1+$S28)^$L$4+$Y$5/(1+$S28)^$L$5+$Y$6/(1+$S28)^$L$6+$Y$7/(1+$S28)^$L$7+$Y$8/(1+$S28)^$L$8)+($Y$11/($S28-T$26)/(1+$S28)^$L$8)+($Z$4/(1+$Y$29)^$L$4+$Z$5/(1+$Y$29)^$L$5+$Z$6/(1+$Y$29)^$L$6+$Z$7/(1+$Y$29)^$L$7+$Z$8/(1+$Y$29)^$L$8)+($Z$11/($Y$29-T$26)/(1+$Y$29)^$L$8)</f>
        <v>-202.14698390023938</v>
      </c>
      <c r="U28" s="150">
        <f>($Y$4/(1+$S28)^$L$4+$Y$5/(1+$S28)^$L$5+$Y$6/(1+$S28)^$L$6+$Y$7/(1+$S28)^$L$7+$Y$8/(1+$S28)^$L$8)+($Y$12/($S28-U$26)/(1+$S28)^$L$8)+($Z$4/(1+$Y$29)^$L$4+$Z$5/(1+$Y$29)^$L$5+$Z$6/(1+$Y$29)^$L$6+$Z$7/(1+$Y$29)^$L$7+$Z$8/(1+$Y$29)^$L$8)+($Z$12/($Y$29-U$26)/(1+$Y$29)^$L$8)</f>
        <v>-887.36463581595626</v>
      </c>
      <c r="V28" s="150">
        <f t="shared" ref="V28:V31" si="8">($Y$4/(1+$S28)^$L$4+$Y$5/(1+$S28)^$L$5+$Y$6/(1+$S28)^$L$6+$Y$7/(1+$S28)^$L$7+$Y$8/(1+$S28)^$L$8)+($Y$13/($S28-V$26)/(1+$S28)^$L$8)+($Z$4/(1+$Y$29)^$L$4+$Z$5/(1+$Y$29)^$L$5+$Z$6/(1+$Y$29)^$L$6+$Z$7/(1+$Y$29)^$L$7+$Z$8/(1+$Y$29)^$L$8)+($Z$13/($Y$29-V$26)/(1+$Y$29)^$L$8)</f>
        <v>1045.1666034157249</v>
      </c>
      <c r="W28" s="150">
        <f t="shared" ref="W28:W31" si="9">($Y$4/(1+$S28)^$L$4+$Y$5/(1+$S28)^$L$5+$Y$6/(1+$S28)^$L$6+$Y$7/(1+$S28)^$L$7+$Y$8/(1+$S28)^$L$8)+($Y$14/($S28-W$26)/(1+$S28)^$L$8)+($Z$4/(1+$Y$29)^$L$4+$Z$5/(1+$Y$29)^$L$5+$Z$6/(1+$Y$29)^$L$6+$Z$7/(1+$Y$29)^$L$7+$Z$8/(1+$Y$29)^$L$8)+($Z$14/($Y$29-W$26)/(1+$Y$29)^$L$8)</f>
        <v>440.7631067966239</v>
      </c>
      <c r="X28" s="150">
        <f t="shared" ref="X28:X31" si="10">($Y$4/(1+$S28)^$L$4+$Y$5/(1+$S28)^$L$5+$Y$6/(1+$S28)^$L$6+$Y$7/(1+$S28)^$L$7+$Y$8/(1+$S28)^$L$8)+($Y$15/($S28-X$26)/(1+$S28)^$L$8)+($Z$4/(1+$Y$29)^$L$4+$Z$5/(1+$Y$29)^$L$5+$Z$6/(1+$Y$29)^$L$6+$Z$7/(1+$Y$29)^$L$7+$Z$8/(1+$Y$29)^$L$8)+($Z$15/($Y$29-X$26)/(1+$Y$29)^$L$8)</f>
        <v>315.37644624059141</v>
      </c>
      <c r="Y28" s="231"/>
      <c r="Z28" s="184"/>
      <c r="AA28" s="154">
        <f>AA29-$I$2</f>
        <v>3.5235167163916739E-2</v>
      </c>
      <c r="AB28" s="152">
        <f>($Y$4/(1+$AA28)^$L$4+$Y$5/(1+$AA28)^$L$5+$Y$6/(1+$AA28)^$L$6+$Y$7/(1+$AA28)^$L$7+$Y$8/(1+$AA28)^$L$8)+($S$11*$AG$30)/(1+$AA28)^$L$8</f>
        <v>106.86602017956622</v>
      </c>
      <c r="AC28" s="152">
        <f>($Y$4/(1+$AA28)^$L$4+$Y$5/(1+$AA28)^$L$5+$Y$6/(1+$AA28)^$L$6+$Y$7/(1+$AA28)^$L$7+$Y$8/(1+$AA28)^$L$8)+($S$12*$AG$30)/(1+$AA28)^$L$8</f>
        <v>105.68353437911692</v>
      </c>
      <c r="AD28" s="152">
        <f>($Y$4/(1+$AA28)^$L$4+$Y$5/(1+$AA28)^$L$5+$Y$6/(1+$AA28)^$L$6+$Y$7/(1+$AA28)^$L$7+$Y$8/(1+$AA28)^$L$8)+($S$13*$AG$30)/(1+$AA28)^$L$8</f>
        <v>104.50104857866718</v>
      </c>
      <c r="AE28" s="152">
        <f>($Y$4/(1+$AA28)^$L$4+$Y$5/(1+$AA28)^$L$5+$Y$6/(1+$AA28)^$L$6+$Y$7/(1+$AA28)^$L$7+$Y$8/(1+$AA28)^$L$8)+($S$14*$AG$30)/(1+$AA28)^$L$8</f>
        <v>103.31856277821744</v>
      </c>
      <c r="AF28" s="152">
        <f>($Y$4/(1+$AA28)^$L$4+$Y$5/(1+$AA28)^$L$5+$Y$6/(1+$AA28)^$L$6+$Y$7/(1+$AA28)^$L$7+$Y$8/(1+$AA28)^$L$8)+($S$15*$AG$30)/(1+$AA28)^$L$8</f>
        <v>102.13607697776816</v>
      </c>
      <c r="AG28" s="232"/>
    </row>
    <row r="29" spans="1:33" ht="15" customHeight="1" x14ac:dyDescent="0.25">
      <c r="A29" s="238"/>
      <c r="B29" s="146">
        <f>$I$10</f>
        <v>5.5235167163916743E-2</v>
      </c>
      <c r="C29" s="147">
        <f>($Y$4/(1+$B29)^$L$4+$Y$5/(1+$B29)^$L$5+$Y$6/(1+$B29)^$L$6+$Y$7/(1+$B29)^$L$7+$Y$8/(1+$B29)^$L$8)+($V$11*(1-C$26/$AA$11)/($B29-C$26)/(1+$B29)^$L$8)</f>
        <v>33.913127535748878</v>
      </c>
      <c r="D29" s="147">
        <f>($Y$4/(1+$B29)^$L$4+$Y$5/(1+$B29)^$L$5+$Y$6/(1+$B29)^$L$6+$Y$7/(1+$B29)^$L$7+$Y$8/(1+$B29)^$L$8)+($V$12*(1-D$26/$AA$12)/($B29-D$26)/(1+$B29)^$L$8)</f>
        <v>87.354392979334705</v>
      </c>
      <c r="E29" s="147">
        <f>($Y$4/(1+$B29)^$L$4+$Y$5/(1+$B29)^$L$5+$Y$6/(1+$B29)^$L$6+$Y$7/(1+$B29)^$L$7+$Y$8/(1+$B29)^$L$8)+($V$13*(1-E$26/$AA$13)/($B29-E$26)/(1+$B29)^$L$8)</f>
        <v>97.435990732499079</v>
      </c>
      <c r="F29" s="147">
        <f>($Y$4/(1+$B29)^$L$4+$Y$5/(1+$B29)^$L$5+$Y$6/(1+$B29)^$L$6+$Y$7/(1+$B29)^$L$7+$Y$8/(1+$B29)^$L$8)+($V$14*(1-F$26/$AA$14)/($B29-F$26)/(1+$B29)^$L$8)</f>
        <v>101.07530009023138</v>
      </c>
      <c r="G29" s="147">
        <f>($Y$4/(1+$B29)^$L$4+$Y$5/(1+$B29)^$L$5+$Y$6/(1+$B29)^$L$6+$Y$7/(1+$B29)^$L$7+$Y$8/(1+$B29)^$L$8)+($V$15*(1-G$26/$AA$15)/($B29-G$26)/(1+$B29)^$L$8)</f>
        <v>102.54485200533311</v>
      </c>
      <c r="H29" s="223"/>
      <c r="J29" s="146">
        <f>$I$10</f>
        <v>5.5235167163916743E-2</v>
      </c>
      <c r="K29" s="147">
        <f>($Y$4/(1+$J29)^$L$4+$Y$5/(1+$J29)^$L$5+$Y$6/(1+$J29)^$L$6+$Y$7/(1+$J29)^$L$7+$Y$8/(1+$J29)^$L$8)+($V$11*(1-K$26/($AA$11-$I$3))/($J29-K$26)/(1+$J29)^$L$8)</f>
        <v>-761.56703213655499</v>
      </c>
      <c r="L29" s="147">
        <f>($Y$4/(1+$J29)^$L$4+$Y$5/(1+$J29)^$L$5+$Y$6/(1+$J29)^$L$6+$Y$7/(1+$J29)^$L$7+$Y$8/(1+$J29)^$L$8)+($V$12*(1-L$26/($AA$12-$I$3))/($J29-L$26)/(1+$J29)^$L$8)</f>
        <v>-129.23975043580597</v>
      </c>
      <c r="M29" s="147">
        <f>($Y$4/(1+$J29)^$L$4+$Y$5/(1+$J29)^$L$5+$Y$6/(1+$J29)^$L$6+$Y$7/(1+$J29)^$L$7+$Y$8/(1+$J29)^$L$8)+($V$13*(1-M$26/($AA$13-$I$3))/($J29-M$26)/(1+$J29)^$L$8)</f>
        <v>0.30610093691649709</v>
      </c>
      <c r="N29" s="147">
        <f>($Y$4/(1+$J29)^$L$4+$Y$5/(1+$J29)^$L$5+$Y$6/(1+$J29)^$L$6+$Y$7/(1+$J29)^$L$7+$Y$8/(1+$J29)^$L$8)+($V$14*(1-N$26/($AA$14-$I$3))/($J29-N$26)/(1+$J29)^$L$8)</f>
        <v>55.149742939228375</v>
      </c>
      <c r="O29" s="147">
        <f>($Y$4/(1+$J29)^$L$4+$Y$5/(1+$J29)^$L$5+$Y$6/(1+$J29)^$L$6+$Y$7/(1+$J29)^$L$7+$Y$8/(1+$J29)^$L$8)+($V$15*(1-O$26/($AA$15-$I$3))/($J29-O$26)/(1+$J29)^$L$8)</f>
        <v>84.833742154148709</v>
      </c>
      <c r="P29" s="235">
        <f>$AA$11-$I$3</f>
        <v>3.1974417916562289E-2</v>
      </c>
      <c r="Q29" s="165"/>
      <c r="R29" s="234"/>
      <c r="S29" s="149">
        <f>$I$10</f>
        <v>5.5235167163916743E-2</v>
      </c>
      <c r="T29" s="150">
        <f>($Y$4/(1+$S29)^$L$4+$Y$5/(1+$S29)^$L$5+$Y$6/(1+$S29)^$L$6+$Y$7/(1+$S29)^$L$7+$Y$8/(1+$S29)^$L$8)+($Y$11/($S29-T$26)/(1+$S29)^$L$8)+($Z$4/(1+$Y$29)^$L$4+$Z$5/(1+$Y$29)^$L$5+$Z$6/(1+$Y$29)^$L$6+$Z$7/(1+$Y$29)^$L$7+$Z$8/(1+$Y$29)^$L$8)+($Z$11/($Y$29-T$26)/(1+$Y$29)^$L$8)</f>
        <v>-47.156766147568177</v>
      </c>
      <c r="U29" s="150">
        <f>($Y$4/(1+$S29)^$L$4+$Y$5/(1+$S29)^$L$5+$Y$6/(1+$S29)^$L$6+$Y$7/(1+$S29)^$L$7+$Y$8/(1+$S29)^$L$8)+($Y$12/($S29-U$26)/(1+$S29)^$L$8)+($Z$4/(1+$Y$29)^$L$4+$Z$5/(1+$Y$29)^$L$5+$Z$6/(1+$Y$29)^$L$6+$Z$7/(1+$Y$29)^$L$7+$Z$8/(1+$Y$29)^$L$8)+($Z$12/($Y$29-U$26)/(1+$Y$29)^$L$8)</f>
        <v>-357.81347409282336</v>
      </c>
      <c r="V29" s="150">
        <f t="shared" si="8"/>
        <v>537.10898163998672</v>
      </c>
      <c r="W29" s="150">
        <f t="shared" si="9"/>
        <v>258.17836873146848</v>
      </c>
      <c r="X29" s="150">
        <f t="shared" si="10"/>
        <v>200.50763325522405</v>
      </c>
      <c r="Y29" s="236">
        <f>'Mkt Val without BOP'!$J$7-$I$2</f>
        <v>3.5235167163916739E-2</v>
      </c>
      <c r="Z29" s="184"/>
      <c r="AA29" s="154">
        <f>$I$10</f>
        <v>5.5235167163916743E-2</v>
      </c>
      <c r="AB29" s="152">
        <f>($Y$4/(1+$AA29)^$L$4+$Y$5/(1+$AA29)^$L$5+$Y$6/(1+$AA29)^$L$6+$Y$7/(1+$AA29)^$L$7+$Y$8/(1+$AA29)^$L$8)+($S$11*$AG$30)/(1+$AA29)^$L$8</f>
        <v>96.526232523029421</v>
      </c>
      <c r="AC29" s="152">
        <f>($Y$4/(1+$AA29)^$L$4+$Y$5/(1+$AA29)^$L$5+$Y$6/(1+$AA29)^$L$6+$Y$7/(1+$AA29)^$L$7+$Y$8/(1+$AA29)^$L$8)+($S$12*$AG$30)/(1+$AA29)^$L$8</f>
        <v>95.45163771875427</v>
      </c>
      <c r="AD29" s="152">
        <f>($Y$4/(1+$AA29)^$L$4+$Y$5/(1+$AA29)^$L$5+$Y$6/(1+$AA29)^$L$6+$Y$7/(1+$AA29)^$L$7+$Y$8/(1+$AA29)^$L$8)+($S$13*$AG$30)/(1+$AA29)^$L$8</f>
        <v>94.377042914478722</v>
      </c>
      <c r="AE29" s="152">
        <f>($Y$4/(1+$AA29)^$L$4+$Y$5/(1+$AA29)^$L$5+$Y$6/(1+$AA29)^$L$6+$Y$7/(1+$AA29)^$L$7+$Y$8/(1+$AA29)^$L$8)+($S$14*$AG$30)/(1+$AA29)^$L$8</f>
        <v>93.302448110203187</v>
      </c>
      <c r="AF29" s="152">
        <f>($Y$4/(1+$AA29)^$L$4+$Y$5/(1+$AA29)^$L$5+$Y$6/(1+$AA29)^$L$6+$Y$7/(1+$AA29)^$L$7+$Y$8/(1+$AA29)^$L$8)+($S$15*$AG$30)/(1+$AA29)^$L$8</f>
        <v>92.227853305928051</v>
      </c>
      <c r="AG29" s="232"/>
    </row>
    <row r="30" spans="1:33" ht="15" customHeight="1" x14ac:dyDescent="0.25">
      <c r="A30" s="238"/>
      <c r="B30" s="146">
        <f>B29+$I$2</f>
        <v>7.5235167163916747E-2</v>
      </c>
      <c r="C30" s="147">
        <f>($Y$4/(1+$B30)^$L$4+$Y$5/(1+$B30)^$L$5+$Y$6/(1+$B30)^$L$6+$Y$7/(1+$B30)^$L$7+$Y$8/(1+$B30)^$L$8)+($V$11*(1-C$26/$AA$11)/($B30-C$26)/(1+$B30)^$L$8)</f>
        <v>-5.9172151001060467</v>
      </c>
      <c r="D30" s="147">
        <f>($Y$4/(1+$B30)^$L$4+$Y$5/(1+$B30)^$L$5+$Y$6/(1+$B30)^$L$6+$Y$7/(1+$B30)^$L$7+$Y$8/(1+$B30)^$L$8)+($V$12*(1-D$26/$AA$12)/($B30-D$26)/(1+$B30)^$L$8)</f>
        <v>25.40309175523673</v>
      </c>
      <c r="E30" s="147">
        <f>($Y$4/(1+$B30)^$L$4+$Y$5/(1+$B30)^$L$5+$Y$6/(1+$B30)^$L$6+$Y$7/(1+$B30)^$L$7+$Y$8/(1+$B30)^$L$8)+($V$13*(1-E$26/$AA$13)/($B30-E$26)/(1+$B30)^$L$8)</f>
        <v>42.365176480531481</v>
      </c>
      <c r="F30" s="147">
        <f>($Y$4/(1+$B30)^$L$4+$Y$5/(1+$B30)^$L$5+$Y$6/(1+$B30)^$L$6+$Y$7/(1+$B30)^$L$7+$Y$8/(1+$B30)^$L$8)+($V$14*(1-F$26/$AA$14)/($B30-F$26)/(1+$B30)^$L$8)</f>
        <v>52.767452405879531</v>
      </c>
      <c r="G30" s="147">
        <f>($Y$4/(1+$B30)^$L$4+$Y$5/(1+$B30)^$L$5+$Y$6/(1+$B30)^$L$6+$Y$7/(1+$B30)^$L$7+$Y$8/(1+$B30)^$L$8)+($V$15*(1-G$26/$AA$15)/($B30-G$26)/(1+$B30)^$L$8)</f>
        <v>59.626609340689022</v>
      </c>
      <c r="H30" s="239">
        <f>$AA$11</f>
        <v>5.1974417916562293E-2</v>
      </c>
      <c r="J30" s="146">
        <f>J29+$I$2</f>
        <v>7.5235167163916747E-2</v>
      </c>
      <c r="K30" s="147">
        <f>($Y$4/(1+$J30)^$L$4+$Y$5/(1+$J30)^$L$5+$Y$6/(1+$J30)^$L$6+$Y$7/(1+$J30)^$L$7+$Y$8/(1+$J30)^$L$8)+($V$11*(1-K$26/($AA$11-$I$3))/($J30-K$26)/(1+$J30)^$L$8)</f>
        <v>-156.15622062930748</v>
      </c>
      <c r="L30" s="147">
        <f>($Y$4/(1+$J30)^$L$4+$Y$5/(1+$J30)^$L$5+$Y$6/(1+$J30)^$L$6+$Y$7/(1+$J30)^$L$7+$Y$8/(1+$J30)^$L$8)+($V$12*(1-L$26/($AA$12-$I$3))/($J30-L$26)/(1+$J30)^$L$8)</f>
        <v>-59.857153417863145</v>
      </c>
      <c r="M30" s="147">
        <f>($Y$4/(1+$J30)^$L$4+$Y$5/(1+$J30)^$L$5+$Y$6/(1+$J30)^$L$6+$Y$7/(1+$J30)^$L$7+$Y$8/(1+$J30)^$L$8)+($V$13*(1-M$26/($AA$13-$I$3))/($J30-M$26)/(1+$J30)^$L$8)</f>
        <v>-6.9649083876868776</v>
      </c>
      <c r="N30" s="147">
        <f>($Y$4/(1+$J30)^$L$4+$Y$5/(1+$J30)^$L$5+$Y$6/(1+$J30)^$L$6+$Y$7/(1+$J30)^$L$7+$Y$8/(1+$J30)^$L$8)+($V$14*(1-N$26/($AA$14-$I$3))/($J30-N$26)/(1+$J30)^$L$8)</f>
        <v>26.096158969975079</v>
      </c>
      <c r="O30" s="147">
        <f>($Y$4/(1+$J30)^$L$4+$Y$5/(1+$J30)^$L$5+$Y$6/(1+$J30)^$L$6+$Y$7/(1+$J30)^$L$7+$Y$8/(1+$J30)^$L$8)+($V$15*(1-O$26/($AA$15-$I$3))/($J30-O$26)/(1+$J30)^$L$8)</f>
        <v>48.445904647528693</v>
      </c>
      <c r="P30" s="235"/>
      <c r="Q30" s="165"/>
      <c r="R30" s="234"/>
      <c r="S30" s="149">
        <f>S29+$I$2</f>
        <v>7.5235167163916747E-2</v>
      </c>
      <c r="T30" s="150">
        <f>($Y$4/(1+$S30)^$L$4+$Y$5/(1+$S30)^$L$5+$Y$6/(1+$S30)^$L$6+$Y$7/(1+$S30)^$L$7+$Y$8/(1+$S30)^$L$8)+($Y$11/($S30-T$26)/(1+$S30)^$L$8)+($Z$4/(1+$Y$29)^$L$4+$Z$5/(1+$Y$29)^$L$5+$Z$6/(1+$Y$29)^$L$6+$Z$7/(1+$Y$29)^$L$7+$Z$8/(1+$Y$29)^$L$8)+($Z$11/($Y$29-T$26)/(1+$Y$29)^$L$8)</f>
        <v>-136.10903811565123</v>
      </c>
      <c r="U30" s="150">
        <f>($Y$4/(1+$S30)^$L$4+$Y$5/(1+$S30)^$L$5+$Y$6/(1+$S30)^$L$6+$Y$7/(1+$S30)^$L$7+$Y$8/(1+$S30)^$L$8)+($Y$12/($S30-U$26)/(1+$S30)^$L$8)+($Z$4/(1+$Y$29)^$L$4+$Z$5/(1+$Y$29)^$L$5+$Z$6/(1+$Y$29)^$L$6+$Z$7/(1+$Y$29)^$L$7+$Z$8/(1+$Y$29)^$L$8)+($Z$12/($Y$29-U$26)/(1+$Y$29)^$L$8)</f>
        <v>-427.84040021884852</v>
      </c>
      <c r="V30" s="150">
        <f t="shared" si="8"/>
        <v>479.8123844670323</v>
      </c>
      <c r="W30" s="150">
        <f t="shared" si="9"/>
        <v>209.26694862093791</v>
      </c>
      <c r="X30" s="150">
        <f t="shared" si="10"/>
        <v>157.48602133132891</v>
      </c>
      <c r="Y30" s="236"/>
      <c r="Z30" s="184"/>
      <c r="AA30" s="154">
        <f>AA29+$I$2</f>
        <v>7.5235167163916747E-2</v>
      </c>
      <c r="AB30" s="152">
        <f>($Y$4/(1+$AA30)^$L$4+$Y$5/(1+$AA30)^$L$5+$Y$6/(1+$AA30)^$L$6+$Y$7/(1+$AA30)^$L$7+$Y$8/(1+$AA30)^$L$8)+($S$11*$AG$30)/(1+$AA30)^$L$8</f>
        <v>87.319960107462265</v>
      </c>
      <c r="AC30" s="152">
        <f>($Y$4/(1+$AA30)^$L$4+$Y$5/(1+$AA30)^$L$5+$Y$6/(1+$AA30)^$L$6+$Y$7/(1+$AA30)^$L$7+$Y$8/(1+$AA30)^$L$8)+($S$12*$AG$30)/(1+$AA30)^$L$8</f>
        <v>86.34165636104396</v>
      </c>
      <c r="AD30" s="152">
        <f>($Y$4/(1+$AA30)^$L$4+$Y$5/(1+$AA30)^$L$5+$Y$6/(1+$AA30)^$L$6+$Y$7/(1+$AA30)^$L$7+$Y$8/(1+$AA30)^$L$8)+($S$13*$AG$30)/(1+$AA30)^$L$8</f>
        <v>85.363352614625285</v>
      </c>
      <c r="AE30" s="152">
        <f>($Y$4/(1+$AA30)^$L$4+$Y$5/(1+$AA30)^$L$5+$Y$6/(1+$AA30)^$L$6+$Y$7/(1+$AA30)^$L$7+$Y$8/(1+$AA30)^$L$8)+($S$14*$AG$30)/(1+$AA30)^$L$8</f>
        <v>84.38504886820661</v>
      </c>
      <c r="AF30" s="152">
        <f>($Y$4/(1+$AA30)^$L$4+$Y$5/(1+$AA30)^$L$5+$Y$6/(1+$AA30)^$L$6+$Y$7/(1+$AA30)^$L$7+$Y$8/(1+$AA30)^$L$8)+($S$15*$AG$30)/(1+$AA30)^$L$8</f>
        <v>83.406745121788305</v>
      </c>
      <c r="AG30" s="240">
        <f>'Fin Stmt'!P44-'Val Matrix - WACC'!I7</f>
        <v>10.76033478951298</v>
      </c>
    </row>
    <row r="31" spans="1:33" ht="15" customHeight="1" x14ac:dyDescent="0.25">
      <c r="A31" s="238"/>
      <c r="B31" s="146">
        <f>B30+$I$2</f>
        <v>9.5235167163916751E-2</v>
      </c>
      <c r="C31" s="147">
        <f>($Y$4/(1+$B31)^$L$4+$Y$5/(1+$B31)^$L$5+$Y$6/(1+$B31)^$L$6+$Y$7/(1+$B31)^$L$7+$Y$8/(1+$B31)^$L$8)+($V$11*(1-C$26/$AA$11)/($B31-C$26)/(1+$B31)^$L$8)</f>
        <v>-9.7476691166737499</v>
      </c>
      <c r="D31" s="147">
        <f>($Y$4/(1+$B31)^$L$4+$Y$5/(1+$B31)^$L$5+$Y$6/(1+$B31)^$L$6+$Y$7/(1+$B31)^$L$7+$Y$8/(1+$B31)^$L$8)+($V$12*(1-D$26/$AA$12)/($B31-D$26)/(1+$B31)^$L$8)</f>
        <v>9.165492897746347</v>
      </c>
      <c r="E31" s="147">
        <f>($Y$4/(1+$B31)^$L$4+$Y$5/(1+$B31)^$L$5+$Y$6/(1+$B31)^$L$6+$Y$7/(1+$B31)^$L$7+$Y$8/(1+$B31)^$L$8)+($V$13*(1-E$26/$AA$13)/($B31-E$26)/(1+$B31)^$L$8)</f>
        <v>21.957400995625655</v>
      </c>
      <c r="F31" s="147">
        <f>($Y$4/(1+$B31)^$L$4+$Y$5/(1+$B31)^$L$5+$Y$6/(1+$B31)^$L$6+$Y$7/(1+$B31)^$L$7+$Y$8/(1+$B31)^$L$8)+($V$14*(1-F$26/$AA$14)/($B31-F$26)/(1+$B31)^$L$8)</f>
        <v>31.068903312466404</v>
      </c>
      <c r="G31" s="147">
        <f>($Y$4/(1+$B31)^$L$4+$Y$5/(1+$B31)^$L$5+$Y$6/(1+$B31)^$L$6+$Y$7/(1+$B31)^$L$7+$Y$8/(1+$B31)^$L$8)+($V$15*(1-G$26/$AA$15)/($B31-G$26)/(1+$B31)^$L$8)</f>
        <v>37.795382694398775</v>
      </c>
      <c r="H31" s="239"/>
      <c r="J31" s="146">
        <f>J30+$I$2</f>
        <v>9.5235167163916751E-2</v>
      </c>
      <c r="K31" s="147">
        <f>($Y$4/(1+$J31)^$L$4+$Y$5/(1+$J31)^$L$5+$Y$6/(1+$J31)^$L$6+$Y$7/(1+$J31)^$L$7+$Y$8/(1+$J31)^$L$8)+($V$11*(1-K$26/($AA$11-$I$3))/($J31-K$26)/(1+$J31)^$L$8)</f>
        <v>-86.182812831836131</v>
      </c>
      <c r="L31" s="147">
        <f>($Y$4/(1+$J31)^$L$4+$Y$5/(1+$J31)^$L$5+$Y$6/(1+$J31)^$L$6+$Y$7/(1+$J31)^$L$7+$Y$8/(1+$J31)^$L$8)+($V$12*(1-L$26/($AA$12-$I$3))/($J31-L$26)/(1+$J31)^$L$8)</f>
        <v>-40.435188254339778</v>
      </c>
      <c r="M31" s="147">
        <f>($Y$4/(1+$J31)^$L$4+$Y$5/(1+$J31)^$L$5+$Y$6/(1+$J31)^$L$6+$Y$7/(1+$J31)^$L$7+$Y$8/(1+$J31)^$L$8)+($V$13*(1-M$26/($AA$13-$I$3))/($J31-M$26)/(1+$J31)^$L$8)</f>
        <v>-9.2377205760567556</v>
      </c>
      <c r="N31" s="147">
        <f>($Y$4/(1+$J31)^$L$4+$Y$5/(1+$J31)^$L$5+$Y$6/(1+$J31)^$L$6+$Y$7/(1+$J31)^$L$7+$Y$8/(1+$J31)^$L$8)+($V$14*(1-N$26/($AA$14-$I$3))/($J31-N$26)/(1+$J31)^$L$8)</f>
        <v>13.211460836534872</v>
      </c>
      <c r="O31" s="147">
        <f>($Y$4/(1+$J31)^$L$4+$Y$5/(1+$J31)^$L$5+$Y$6/(1+$J31)^$L$6+$Y$7/(1+$J31)^$L$7+$Y$8/(1+$J31)^$L$8)+($V$15*(1-O$26/($AA$15-$I$3))/($J31-O$26)/(1+$J31)^$L$8)</f>
        <v>29.991467536839416</v>
      </c>
      <c r="P31" s="235"/>
      <c r="Q31" s="165"/>
      <c r="R31" s="234"/>
      <c r="S31" s="149">
        <f>S30+$I$2</f>
        <v>9.5235167163916751E-2</v>
      </c>
      <c r="T31" s="150">
        <f>($Y$4/(1+$S31)^$L$4+$Y$5/(1+$S31)^$L$5+$Y$6/(1+$S31)^$L$6+$Y$7/(1+$S31)^$L$7+$Y$8/(1+$S31)^$L$8)+($Y$11/($S31-T$26)/(1+$S31)^$L$8)+($Z$4/(1+$Y$29)^$L$4+$Z$5/(1+$Y$29)^$L$5+$Z$6/(1+$Y$29)^$L$6+$Z$7/(1+$Y$29)^$L$7+$Z$8/(1+$Y$29)^$L$8)+($Z$11/($Y$29-T$26)/(1+$Y$29)^$L$8)</f>
        <v>-145.5581481357861</v>
      </c>
      <c r="U31" s="150">
        <f>($Y$4/(1+$S31)^$L$4+$Y$5/(1+$S31)^$L$5+$Y$6/(1+$S31)^$L$6+$Y$7/(1+$S31)^$L$7+$Y$8/(1+$S31)^$L$8)+($Y$12/($S31-U$26)/(1+$S31)^$L$8)+($Z$4/(1+$Y$29)^$L$4+$Z$5/(1+$Y$29)^$L$5+$Z$6/(1+$Y$29)^$L$6+$Z$7/(1+$Y$29)^$L$7+$Z$8/(1+$Y$29)^$L$8)+($Z$12/($Y$29-U$26)/(1+$Y$29)^$L$8)</f>
        <v>-446.2706794662048</v>
      </c>
      <c r="V31" s="150">
        <f t="shared" si="8"/>
        <v>458.56016010541055</v>
      </c>
      <c r="W31" s="150">
        <f t="shared" si="9"/>
        <v>187.29210761179098</v>
      </c>
      <c r="X31" s="150">
        <f t="shared" si="10"/>
        <v>135.60134375443099</v>
      </c>
      <c r="Y31" s="236"/>
      <c r="Z31" s="184"/>
      <c r="AA31" s="154">
        <f>AA30+$I$2</f>
        <v>9.5235167163916751E-2</v>
      </c>
      <c r="AB31" s="152">
        <f>($Y$4/(1+$AA31)^$L$4+$Y$5/(1+$AA31)^$L$5+$Y$6/(1+$AA31)^$L$6+$Y$7/(1+$AA31)^$L$7+$Y$8/(1+$AA31)^$L$8)+($S$11*$AG$30)/(1+$AA31)^$L$8</f>
        <v>79.106166517143294</v>
      </c>
      <c r="AC31" s="152">
        <f>($Y$4/(1+$AA31)^$L$4+$Y$5/(1+$AA31)^$L$5+$Y$6/(1+$AA31)^$L$6+$Y$7/(1+$AA31)^$L$7+$Y$8/(1+$AA31)^$L$8)+($S$12*$AG$30)/(1+$AA31)^$L$8</f>
        <v>78.213983162225304</v>
      </c>
      <c r="AD31" s="152">
        <f>($Y$4/(1+$AA31)^$L$4+$Y$5/(1+$AA31)^$L$5+$Y$6/(1+$AA31)^$L$6+$Y$7/(1+$AA31)^$L$7+$Y$8/(1+$AA31)^$L$8)+($S$13*$AG$30)/(1+$AA31)^$L$8</f>
        <v>77.321799807307002</v>
      </c>
      <c r="AE31" s="152">
        <f>($Y$4/(1+$AA31)^$L$4+$Y$5/(1+$AA31)^$L$5+$Y$6/(1+$AA31)^$L$6+$Y$7/(1+$AA31)^$L$7+$Y$8/(1+$AA31)^$L$8)+($S$14*$AG$30)/(1+$AA31)^$L$8</f>
        <v>76.4296164523887</v>
      </c>
      <c r="AF31" s="152">
        <f>($Y$4/(1+$AA31)^$L$4+$Y$5/(1+$AA31)^$L$5+$Y$6/(1+$AA31)^$L$6+$Y$7/(1+$AA31)^$L$7+$Y$8/(1+$AA31)^$L$8)+($S$15*$AG$30)/(1+$AA31)^$L$8</f>
        <v>75.537433097470725</v>
      </c>
      <c r="AG31" s="240"/>
    </row>
    <row r="32" spans="1:33" ht="15" customHeight="1" x14ac:dyDescent="0.25">
      <c r="A32" s="159"/>
      <c r="B32" s="154"/>
      <c r="C32" s="152"/>
      <c r="D32" s="152"/>
      <c r="E32" s="152"/>
      <c r="F32" s="152"/>
      <c r="G32" s="152"/>
      <c r="H32" s="158"/>
      <c r="R32" s="24"/>
      <c r="S32" s="24"/>
      <c r="T32" s="24"/>
      <c r="U32" s="24"/>
      <c r="V32" s="24"/>
      <c r="W32" s="24"/>
      <c r="X32" s="24"/>
      <c r="Y32" s="24"/>
      <c r="Z32" s="171"/>
      <c r="AA32" s="154"/>
      <c r="AB32" s="152"/>
      <c r="AC32" s="152"/>
      <c r="AD32" s="152"/>
      <c r="AE32" s="152"/>
      <c r="AF32" s="152"/>
      <c r="AG32" s="161"/>
    </row>
    <row r="33" spans="1:33" ht="15" customHeight="1" x14ac:dyDescent="0.25">
      <c r="A33" s="93"/>
      <c r="B33" s="148"/>
      <c r="C33" s="149">
        <f>D33+$I$5</f>
        <v>0.05</v>
      </c>
      <c r="D33" s="149">
        <f>E33+$I$5</f>
        <v>0.04</v>
      </c>
      <c r="E33" s="149">
        <f>$I$11</f>
        <v>0.03</v>
      </c>
      <c r="F33" s="149">
        <f>E33-$I$5</f>
        <v>1.9999999999999997E-2</v>
      </c>
      <c r="G33" s="149">
        <f>F33-$I$5</f>
        <v>9.9999999999999967E-3</v>
      </c>
      <c r="H33" s="224" t="s">
        <v>137</v>
      </c>
      <c r="J33" s="145"/>
      <c r="K33" s="146">
        <f>L33+$I$5</f>
        <v>0.05</v>
      </c>
      <c r="L33" s="146">
        <f>M33+$I$5</f>
        <v>0.04</v>
      </c>
      <c r="M33" s="146">
        <f>$I$11</f>
        <v>0.03</v>
      </c>
      <c r="N33" s="146">
        <f>M33-$I$5</f>
        <v>1.9999999999999997E-2</v>
      </c>
      <c r="O33" s="146">
        <f>N33-$I$5</f>
        <v>9.9999999999999967E-3</v>
      </c>
      <c r="P33" s="230" t="s">
        <v>223</v>
      </c>
      <c r="Q33" s="164"/>
      <c r="R33" s="24"/>
      <c r="S33" s="148"/>
      <c r="T33" s="149">
        <f>U33+$I$5</f>
        <v>0.05</v>
      </c>
      <c r="U33" s="149">
        <f>V33+$I$5</f>
        <v>0.04</v>
      </c>
      <c r="V33" s="149">
        <f>$I$11</f>
        <v>0.03</v>
      </c>
      <c r="W33" s="149">
        <f>V33-$I$5</f>
        <v>1.9999999999999997E-2</v>
      </c>
      <c r="X33" s="149">
        <f>W33-$I$5</f>
        <v>9.9999999999999967E-3</v>
      </c>
      <c r="Y33" s="231" t="s">
        <v>227</v>
      </c>
      <c r="Z33" s="13"/>
      <c r="AA33" s="93"/>
      <c r="AB33" s="154">
        <f>AC33+$I$5</f>
        <v>0.05</v>
      </c>
      <c r="AC33" s="154">
        <f>AD33+$I$5</f>
        <v>0.04</v>
      </c>
      <c r="AD33" s="154">
        <f>$I$11</f>
        <v>0.03</v>
      </c>
      <c r="AE33" s="154">
        <f>AD33-$I$5</f>
        <v>1.9999999999999997E-2</v>
      </c>
      <c r="AF33" s="154">
        <f>AE33-$I$5</f>
        <v>9.9999999999999967E-3</v>
      </c>
      <c r="AG33" s="232" t="s">
        <v>225</v>
      </c>
    </row>
    <row r="34" spans="1:33" ht="15" customHeight="1" x14ac:dyDescent="0.25">
      <c r="A34" s="241" t="s">
        <v>210</v>
      </c>
      <c r="B34" s="149">
        <f>B35-$I$2</f>
        <v>1.5235167163916739E-2</v>
      </c>
      <c r="C34" s="150">
        <f>($Y$4/(1+$B34)^$L$4+$Y$5/(1+$B34)^$L$5+$Y$6/(1+$B34)^$L$6+$Y$7/(1+$B34)^$L$7+$Y$8/(1+$B34)^$L$8)+($Y$11/($B34-C$33)/(1+$B34)^$L$8)+($Z$4/(1+$B34)^$L$4+$Z$5/(1+$B34)^$L$5+$Z$6/(1+$B34)^$L$6+$Z$7/(1+$B34)^$L$7+$Z$8/(1+$B34)^$L$8)+($Z$11/($B34-C$33)/(1+$B34)^$L$8)</f>
        <v>-99.373614168356198</v>
      </c>
      <c r="D34" s="150">
        <f>($Y$4/(1+$B34)^$L$4+$Y$5/(1+$B34)^$L$5+$Y$6/(1+$B34)^$L$6+$Y$7/(1+$B34)^$L$7+$Y$8/(1+$B34)^$L$8)+($Y$12/($B34-D$33)/(1+$B34)^$L$8)+($Z$4/(1+$B34)^$L$4+$Z$5/(1+$B34)^$L$5+$Z$6/(1+$B34)^$L$6+$Z$7/(1+$B34)^$L$7+$Z$8/(1+$B34)^$L$8)+($Z$12/($B34-D$33)/(1+$B34)^$L$8)</f>
        <v>-194.98422199534252</v>
      </c>
      <c r="E34" s="150">
        <f>($Y$4/(1+$B34)^$L$4+$Y$5/(1+$B34)^$L$5+$Y$6/(1+$B34)^$L$6+$Y$7/(1+$B34)^$L$7+$Y$8/(1+$B34)^$L$8)+($Y$13/($B34-E$33)/(1+$B34)^$L$8)+($Z$4/(1+$B34)^$L$4+$Z$5/(1+$B34)^$L$5+$Z$6/(1+$B34)^$L$6+$Z$7/(1+$B34)^$L$7+$Z$8/(1+$B34)^$L$8)+($Z$13/($B34-E$33)/(1+$B34)^$L$8)</f>
        <v>-420.10609336108763</v>
      </c>
      <c r="F34" s="150">
        <f>($Y$4/(1+$B34)^$L$4+$Y$5/(1+$B34)^$L$5+$Y$6/(1+$B34)^$L$6+$Y$7/(1+$B34)^$L$7+$Y$8/(1+$B34)^$L$8)+($Y$14/($B34-F$33)/(1+$B34)^$L$8)+($Z$4/(1+$B34)^$L$4+$Z$5/(1+$B34)^$L$5+$Z$6/(1+$B34)^$L$6+$Z$7/(1+$B34)^$L$7+$Z$8/(1+$B34)^$L$8)+($Z$14/($B34-F$33)/(1+$B34)^$L$8)</f>
        <v>-1590.1587906770576</v>
      </c>
      <c r="G34" s="150">
        <f>($Y$4/(1+$B34)^$L$4+$Y$5/(1+$B34)^$L$5+$Y$6/(1+$B34)^$L$6+$Y$7/(1+$B34)^$L$7+$Y$8/(1+$B34)^$L$8)+($Y$15/($B34-G$33)/(1+$B34)^$L$8)+($Z$4/(1+$B34)^$L$4+$Z$5/(1+$B34)^$L$5+$Z$6/(1+$B34)^$L$6+$Z$7/(1+$B34)^$L$7+$Z$8/(1+$B34)^$L$8)+($Z$15/($B34-G$33)/(1+$B34)^$L$8)</f>
        <v>1709.7611439432717</v>
      </c>
      <c r="H34" s="224"/>
      <c r="J34" s="146">
        <f>J35-$I$2</f>
        <v>1.5235167163916739E-2</v>
      </c>
      <c r="K34" s="147">
        <f>($Y$4/(1+$J34)^$L$4+$Y$5/(1+$J34)^$L$5+$Y$6/(1+$J34)^$L$6+$Y$7/(1+$J34)^$L$7+$Y$8/(1+$J34)^$L$8)+($V$11*(1-K$33/$AA$11)/($J34-K$33)/(1+$J34)^$L$8)</f>
        <v>-27.552932281867015</v>
      </c>
      <c r="L34" s="147">
        <f>($Y$4/(1+$J34)^$L$4+$Y$5/(1+$J34)^$L$5+$Y$6/(1+$J34)^$L$6+$Y$7/(1+$J34)^$L$7+$Y$8/(1+$J34)^$L$8)+($V$12*(1-L$33/$AA$12)/($J34-L$33)/(1+$J34)^$L$8)</f>
        <v>-95.742546280011936</v>
      </c>
      <c r="M34" s="147">
        <f>($Y$4/(1+$J34)^$L$4+$Y$5/(1+$J34)^$L$5+$Y$6/(1+$J34)^$L$6+$Y$7/(1+$J34)^$L$7+$Y$8/(1+$J34)^$L$8)+($V$13*(1-M$33/$AA$13)/($J34-M$33)/(1+$J34)^$L$8)</f>
        <v>-254.21581539699471</v>
      </c>
      <c r="N34" s="147">
        <f>($Y$4/(1+$J34)^$L$4+$Y$5/(1+$J34)^$L$5+$Y$6/(1+$J34)^$L$6+$Y$7/(1+$J34)^$L$7+$Y$8/(1+$J34)^$L$8)+($V$14*(1-N$33/$AA$14)/($J34-N$33)/(1+$J34)^$L$8)</f>
        <v>-1071.4102371781837</v>
      </c>
      <c r="O34" s="147">
        <f>($Y$4/(1+$J34)^$L$4+$Y$5/(1+$J34)^$L$5+$Y$6/(1+$J34)^$L$6+$Y$7/(1+$J34)^$L$7+$Y$8/(1+$J34)^$L$8)+($V$15*(1-O$33/$AA$15)/($J34-O$33)/(1+$J34)^$L$8)</f>
        <v>1227.4599709838571</v>
      </c>
      <c r="P34" s="230"/>
      <c r="Q34" s="164"/>
      <c r="R34" s="234" t="s">
        <v>233</v>
      </c>
      <c r="S34" s="149">
        <f>S35-$I$2</f>
        <v>1.5235167163916739E-2</v>
      </c>
      <c r="T34" s="150">
        <f>($Y$4/(1+$S34)^$L$4+$Y$5/(1+$S34)^$L$5+$Y$6/(1+$S34)^$L$6+$Y$7/(1+$S34)^$L$7+$Y$8/(1+$S34)^$L$8)+($Y$11/($S34-T$33)/(1+$S34)^$L$8)+($Z$4/(1+$Y$36)^$L$4+$Z$5/(1+$Y$36)^$L$5+$Z$6/(1+$Y$36)^$L$6+$Z$7/(1+$Y$36)^$L$7+$Z$8/(1+$Y$36)^$L$8)+($Z$11/($Y$36-T$33)/(1+$Y$36)^$L$8)</f>
        <v>357.14890088469275</v>
      </c>
      <c r="U34" s="150">
        <f>($Y$4/(1+$S34)^$L$4+$Y$5/(1+$S34)^$L$5+$Y$6/(1+$S34)^$L$6+$Y$7/(1+$S34)^$L$7+$Y$8/(1+$S34)^$L$8)+($Y$12/($S34-U$33)/(1+$S34)^$L$8)+($Z$4/(1+$Y$36)^$L$4+$Z$5/(1+$Y$36)^$L$5+$Z$6/(1+$Y$36)^$L$6+$Z$7/(1+$Y$36)^$L$7+$Z$8/(1+$Y$36)^$L$8)+($Z$12/($Y$36-U$33)/(1+$Y$36)^$L$8)</f>
        <v>36.096835209208393</v>
      </c>
      <c r="V34" s="150">
        <f>($Y$4/(1+$S34)^$L$4+$Y$5/(1+$S34)^$L$5+$Y$6/(1+$S34)^$L$6+$Y$7/(1+$S34)^$L$7+$Y$8/(1+$S34)^$L$8)+($Y$13/($S34-V$33)/(1+$S34)^$L$8)+($Z$4/(1+$Y$36)^$L$4+$Z$5/(1+$Y$36)^$L$5+$Z$6/(1+$Y$36)^$L$6+$Z$7/(1+$Y$36)^$L$7+$Z$8/(1+$Y$36)^$L$8)+($Z$13/($Y$36-V$33)/(1+$Y$36)^$L$8)</f>
        <v>-174.5053252872888</v>
      </c>
      <c r="W34" s="150">
        <f>($Y$4/(1+$S34)^$L$4+$Y$5/(1+$S34)^$L$5+$Y$6/(1+$S34)^$L$6+$Y$7/(1+$S34)^$L$7+$Y$8/(1+$S34)^$L$8)+($Y$14/($S34-W$33)/(1+$S34)^$L$8)+($Z$4/(1+$Y$36)^$L$4+$Z$5/(1+$Y$36)^$L$5+$Z$6/(1+$Y$36)^$L$6+$Z$7/(1+$Y$36)^$L$7+$Z$8/(1+$Y$36)^$L$8)+($Z$14/($Y$36-W$33)/(1+$Y$36)^$L$8)</f>
        <v>-1018.0197916399774</v>
      </c>
      <c r="X34" s="150">
        <f>($Y$4/(1+$S34)^$L$4+$Y$5/(1+$S34)^$L$5+$Y$6/(1+$S34)^$L$6+$Y$7/(1+$S34)^$L$7+$Y$8/(1+$S34)^$L$8)+($Y$15/($S34-X$33)/(1+$S34)^$L$8)+($Z$4/(1+$Y$36)^$L$4+$Z$5/(1+$Y$36)^$L$5+$Z$6/(1+$Y$36)^$L$6+$Z$7/(1+$Y$36)^$L$7+$Z$8/(1+$Y$36)^$L$8)+($Z$15/($Y$36-X$33)/(1+$Y$36)^$L$8)</f>
        <v>1283.9945449849256</v>
      </c>
      <c r="Y34" s="231"/>
      <c r="Z34" s="13"/>
      <c r="AA34" s="154">
        <f>AA35-$I$2</f>
        <v>1.5235167163916739E-2</v>
      </c>
      <c r="AB34" s="152">
        <f>($Y$4/(1+$AA34)^$L$4+$Y$5/(1+$AA34)^$L$5+$Y$6/(1+$AA34)^$L$6+$Y$7/(1+$AA34)^$L$7+$Y$8/(1+$AA34)^$L$8)+($S$11*$AG$37)/(1+$AA34)^$L$8</f>
        <v>143.94562528894886</v>
      </c>
      <c r="AC34" s="152">
        <f>($Y$4/(1+$AA34)^$L$4+$Y$5/(1+$AA34)^$L$5+$Y$6/(1+$AA34)^$L$6+$Y$7/(1+$AA34)^$L$7+$Y$8/(1+$AA34)^$L$8)+($S$12*$AG$37)/(1+$AA34)^$L$8</f>
        <v>142.39968029446214</v>
      </c>
      <c r="AD34" s="152">
        <f>($Y$4/(1+$AA34)^$L$4+$Y$5/(1+$AA34)^$L$5+$Y$6/(1+$AA34)^$L$6+$Y$7/(1+$AA34)^$L$7+$Y$8/(1+$AA34)^$L$8)+($S$13*$AG$37)/(1+$AA34)^$L$8</f>
        <v>140.85373529997491</v>
      </c>
      <c r="AE34" s="152">
        <f>($Y$4/(1+$AA34)^$L$4+$Y$5/(1+$AA34)^$L$5+$Y$6/(1+$AA34)^$L$6+$Y$7/(1+$AA34)^$L$7+$Y$8/(1+$AA34)^$L$8)+($S$14*$AG$37)/(1+$AA34)^$L$8</f>
        <v>139.30779030548763</v>
      </c>
      <c r="AF34" s="152">
        <f>($Y$4/(1+$AA34)^$L$4+$Y$5/(1+$AA34)^$L$5+$Y$6/(1+$AA34)^$L$6+$Y$7/(1+$AA34)^$L$7+$Y$8/(1+$AA34)^$L$8)+($S$15*$AG$37)/(1+$AA34)^$L$8</f>
        <v>137.76184531100097</v>
      </c>
      <c r="AG34" s="232"/>
    </row>
    <row r="35" spans="1:33" ht="15" customHeight="1" x14ac:dyDescent="0.25">
      <c r="A35" s="241"/>
      <c r="B35" s="149">
        <f>B36-$I$2</f>
        <v>3.5235167163916739E-2</v>
      </c>
      <c r="C35" s="150">
        <f>($Y$4/(1+$B35)^$L$4+$Y$5/(1+$B35)^$L$5+$Y$6/(1+$B35)^$L$6+$Y$7/(1+$B35)^$L$7+$Y$8/(1+$B35)^$L$8)+($Y$11/($B35-C$33)/(1+$B35)^$L$8)+($Z$4/(1+$B35)^$L$4+$Z$5/(1+$B35)^$L$5+$Z$6/(1+$B35)^$L$6+$Z$7/(1+$B35)^$L$7+$Z$8/(1+$B35)^$L$8)+($Z$11/($B35-C$33)/(1+$B35)^$L$8)</f>
        <v>-202.14698390023938</v>
      </c>
      <c r="D35" s="150">
        <f>($Y$4/(1+$B35)^$L$4+$Y$5/(1+$B35)^$L$5+$Y$6/(1+$B35)^$L$6+$Y$7/(1+$B35)^$L$7+$Y$8/(1+$B35)^$L$8)+($Y$12/($B35-D$33)/(1+$B35)^$L$8)+($Z$4/(1+$B35)^$L$4+$Z$5/(1+$B35)^$L$5+$Z$6/(1+$B35)^$L$6+$Z$7/(1+$B35)^$L$7+$Z$8/(1+$B35)^$L$8)+($Z$12/($B35-D$33)/(1+$B35)^$L$8)</f>
        <v>-887.36463581595626</v>
      </c>
      <c r="E35" s="150">
        <f>($Y$4/(1+$B35)^$L$4+$Y$5/(1+$B35)^$L$5+$Y$6/(1+$B35)^$L$6+$Y$7/(1+$B35)^$L$7+$Y$8/(1+$B35)^$L$8)+($Y$13/($B35-E$33)/(1+$B35)^$L$8)+($Z$4/(1+$B35)^$L$4+$Z$5/(1+$B35)^$L$5+$Z$6/(1+$B35)^$L$6+$Z$7/(1+$B35)^$L$7+$Z$8/(1+$B35)^$L$8)+($Z$13/($B35-E$33)/(1+$B35)^$L$8)</f>
        <v>1045.1666034157249</v>
      </c>
      <c r="F35" s="150">
        <f>($Y$4/(1+$B35)^$L$4+$Y$5/(1+$B35)^$L$5+$Y$6/(1+$B35)^$L$6+$Y$7/(1+$B35)^$L$7+$Y$8/(1+$B35)^$L$8)+($Y$14/($B35-F$33)/(1+$B35)^$L$8)+($Z$4/(1+$B35)^$L$4+$Z$5/(1+$B35)^$L$5+$Z$6/(1+$B35)^$L$6+$Z$7/(1+$B35)^$L$7+$Z$8/(1+$B35)^$L$8)+($Z$14/($B35-F$33)/(1+$B35)^$L$8)</f>
        <v>440.7631067966239</v>
      </c>
      <c r="G35" s="150">
        <f>($Y$4/(1+$B35)^$L$4+$Y$5/(1+$B35)^$L$5+$Y$6/(1+$B35)^$L$6+$Y$7/(1+$B35)^$L$7+$Y$8/(1+$B35)^$L$8)+($Y$15/($B35-G$33)/(1+$B35)^$L$8)+($Z$4/(1+$B35)^$L$4+$Z$5/(1+$B35)^$L$5+$Z$6/(1+$B35)^$L$6+$Z$7/(1+$B35)^$L$7+$Z$8/(1+$B35)^$L$8)+($Z$15/($B35-G$33)/(1+$B35)^$L$8)</f>
        <v>315.37644624059141</v>
      </c>
      <c r="H35" s="224"/>
      <c r="J35" s="146">
        <f>J36-$I$2</f>
        <v>3.5235167163916739E-2</v>
      </c>
      <c r="K35" s="147">
        <f>($Y$4/(1+$J35)^$L$4+$Y$5/(1+$J35)^$L$5+$Y$6/(1+$J35)^$L$6+$Y$7/(1+$J35)^$L$7+$Y$8/(1+$J35)^$L$8)+($V$11*(1-K$33/$AA$11)/($J35-K$33)/(1+$J35)^$L$8)</f>
        <v>-36.889042833762602</v>
      </c>
      <c r="L35" s="147">
        <f>($Y$4/(1+$J35)^$L$4+$Y$5/(1+$J35)^$L$5+$Y$6/(1+$J35)^$L$6+$Y$7/(1+$J35)^$L$7+$Y$8/(1+$J35)^$L$8)+($V$12*(1-L$33/$AA$12)/($J35-L$33)/(1+$J35)^$L$8)</f>
        <v>-382.0191494765798</v>
      </c>
      <c r="M35" s="147">
        <f>($Y$4/(1+$J35)^$L$4+$Y$5/(1+$J35)^$L$5+$Y$6/(1+$J35)^$L$6+$Y$7/(1+$J35)^$L$7+$Y$8/(1+$J35)^$L$8)+($V$13*(1-M$33/$AA$13)/($J35-M$33)/(1+$J35)^$L$8)</f>
        <v>586.02609510204115</v>
      </c>
      <c r="N35" s="147">
        <f>($Y$4/(1+$J35)^$L$4+$Y$5/(1+$J35)^$L$5+$Y$6/(1+$J35)^$L$6+$Y$7/(1+$J35)^$L$7+$Y$8/(1+$J35)^$L$8)+($V$14*(1-N$33/$AA$14)/($J35-N$33)/(1+$J35)^$L$8)</f>
        <v>281.43584204265329</v>
      </c>
      <c r="O35" s="147">
        <f>($Y$4/(1+$J35)^$L$4+$Y$5/(1+$J35)^$L$5+$Y$6/(1+$J35)^$L$6+$Y$7/(1+$J35)^$L$7+$Y$8/(1+$J35)^$L$8)+($V$15*(1-O$33/$AA$15)/($J35-O$33)/(1+$J35)^$L$8)</f>
        <v>217.1410214693008</v>
      </c>
      <c r="P35" s="230"/>
      <c r="Q35" s="164"/>
      <c r="R35" s="234"/>
      <c r="S35" s="149">
        <f>S36-$I$2</f>
        <v>3.5235167163916739E-2</v>
      </c>
      <c r="T35" s="150">
        <f>($Y$4/(1+$S35)^$L$4+$Y$5/(1+$S35)^$L$5+$Y$6/(1+$S35)^$L$6+$Y$7/(1+$S35)^$L$7+$Y$8/(1+$S35)^$L$8)+($Y$11/($S35-T$33)/(1+$S35)^$L$8)+($Z$4/(1+$Y$36)^$L$4+$Z$5/(1+$Y$36)^$L$5+$Z$6/(1+$Y$36)^$L$6+$Z$7/(1+$Y$36)^$L$7+$Z$8/(1+$Y$36)^$L$8)+($Z$11/($Y$36-T$33)/(1+$Y$36)^$L$8)</f>
        <v>335.24763941987487</v>
      </c>
      <c r="U35" s="150">
        <f>($Y$4/(1+$S35)^$L$4+$Y$5/(1+$S35)^$L$5+$Y$6/(1+$S35)^$L$6+$Y$7/(1+$S35)^$L$7+$Y$8/(1+$S35)^$L$8)+($Y$12/($S35-U$33)/(1+$S35)^$L$8)+($Z$4/(1+$Y$36)^$L$4+$Z$5/(1+$Y$36)^$L$5+$Z$6/(1+$Y$36)^$L$6+$Z$7/(1+$Y$36)^$L$7+$Z$8/(1+$Y$36)^$L$8)+($Z$12/($Y$36-U$33)/(1+$Y$36)^$L$8)</f>
        <v>-287.09952802701332</v>
      </c>
      <c r="V35" s="150">
        <f>($Y$4/(1+$S35)^$L$4+$Y$5/(1+$S35)^$L$5+$Y$6/(1+$S35)^$L$6+$Y$7/(1+$S35)^$L$7+$Y$8/(1+$S35)^$L$8)+($Y$13/($S35-V$33)/(1+$S35)^$L$8)+($Z$4/(1+$Y$36)^$L$4+$Z$5/(1+$Y$36)^$L$5+$Z$6/(1+$Y$36)^$L$6+$Z$7/(1+$Y$36)^$L$7+$Z$8/(1+$Y$36)^$L$8)+($Z$13/($Y$36-V$33)/(1+$Y$36)^$L$8)</f>
        <v>699.10470988717111</v>
      </c>
      <c r="W35" s="150">
        <f>($Y$4/(1+$S35)^$L$4+$Y$5/(1+$S35)^$L$5+$Y$6/(1+$S35)^$L$6+$Y$7/(1+$S35)^$L$7+$Y$8/(1+$S35)^$L$8)+($Y$14/($S35-W$33)/(1+$S35)^$L$8)+($Z$4/(1+$Y$36)^$L$4+$Z$5/(1+$Y$36)^$L$5+$Z$6/(1+$Y$36)^$L$6+$Z$7/(1+$Y$36)^$L$7+$Z$8/(1+$Y$36)^$L$8)+($Z$14/($Y$36-W$33)/(1+$Y$36)^$L$8)</f>
        <v>351.40525800608503</v>
      </c>
      <c r="X35" s="150">
        <f>($Y$4/(1+$S35)^$L$4+$Y$5/(1+$S35)^$L$5+$Y$6/(1+$S35)^$L$6+$Y$7/(1+$S35)^$L$7+$Y$8/(1+$S35)^$L$8)+($Y$15/($S35-X$33)/(1+$S35)^$L$8)+($Z$4/(1+$Y$36)^$L$4+$Z$5/(1+$Y$36)^$L$5+$Z$6/(1+$Y$36)^$L$6+$Z$7/(1+$Y$36)^$L$7+$Z$8/(1+$Y$36)^$L$8)+($Z$15/($Y$36-X$33)/(1+$Y$36)^$L$8)</f>
        <v>271.28988359453359</v>
      </c>
      <c r="Y35" s="231"/>
      <c r="Z35" s="13"/>
      <c r="AA35" s="154">
        <f>AA36-$I$2</f>
        <v>3.5235167163916739E-2</v>
      </c>
      <c r="AB35" s="152">
        <f>($Y$4/(1+$AA35)^$L$4+$Y$5/(1+$AA35)^$L$5+$Y$6/(1+$AA35)^$L$6+$Y$7/(1+$AA35)^$L$7+$Y$8/(1+$AA35)^$L$8)+($S$11*$AG$37)/(1+$AA35)^$L$8</f>
        <v>129.94355660867748</v>
      </c>
      <c r="AC35" s="152">
        <f>($Y$4/(1+$AA35)^$L$4+$Y$5/(1+$AA35)^$L$5+$Y$6/(1+$AA35)^$L$6+$Y$7/(1+$AA35)^$L$7+$Y$8/(1+$AA35)^$L$8)+($S$12*$AG$37)/(1+$AA35)^$L$8</f>
        <v>128.5412847469986</v>
      </c>
      <c r="AD35" s="152">
        <f>($Y$4/(1+$AA35)^$L$4+$Y$5/(1+$AA35)^$L$5+$Y$6/(1+$AA35)^$L$6+$Y$7/(1+$AA35)^$L$7+$Y$8/(1+$AA35)^$L$8)+($S$13*$AG$37)/(1+$AA35)^$L$8</f>
        <v>127.13901288531923</v>
      </c>
      <c r="AE35" s="152">
        <f>($Y$4/(1+$AA35)^$L$4+$Y$5/(1+$AA35)^$L$5+$Y$6/(1+$AA35)^$L$6+$Y$7/(1+$AA35)^$L$7+$Y$8/(1+$AA35)^$L$8)+($S$14*$AG$37)/(1+$AA35)^$L$8</f>
        <v>125.73674102363984</v>
      </c>
      <c r="AF35" s="152">
        <f>($Y$4/(1+$AA35)^$L$4+$Y$5/(1+$AA35)^$L$5+$Y$6/(1+$AA35)^$L$6+$Y$7/(1+$AA35)^$L$7+$Y$8/(1+$AA35)^$L$8)+($S$15*$AG$37)/(1+$AA35)^$L$8</f>
        <v>124.33446916196098</v>
      </c>
      <c r="AG35" s="232"/>
    </row>
    <row r="36" spans="1:33" ht="15" customHeight="1" x14ac:dyDescent="0.25">
      <c r="A36" s="241"/>
      <c r="B36" s="149">
        <f>$I$10</f>
        <v>5.5235167163916743E-2</v>
      </c>
      <c r="C36" s="150">
        <f>($Y$4/(1+$B36)^$L$4+$Y$5/(1+$B36)^$L$5+$Y$6/(1+$B36)^$L$6+$Y$7/(1+$B36)^$L$7+$Y$8/(1+$B36)^$L$8)+($Y$11/($B36-C$33)/(1+$B36)^$L$8)+($Z$4/(1+$B36)^$L$4+$Z$5/(1+$B36)^$L$5+$Z$6/(1+$B36)^$L$6+$Z$7/(1+$B36)^$L$7+$Z$8/(1+$B36)^$L$8)+($Z$11/($B36-C$33)/(1+$B36)^$L$8)</f>
        <v>490.23785717254606</v>
      </c>
      <c r="D36" s="150">
        <f>($Y$4/(1+$B36)^$L$4+$Y$5/(1+$B36)^$L$5+$Y$6/(1+$B36)^$L$6+$Y$7/(1+$B36)^$L$7+$Y$8/(1+$B36)^$L$8)+($Y$12/($B36-D$33)/(1+$B36)^$L$8)+($Z$4/(1+$B36)^$L$4+$Z$5/(1+$B36)^$L$5+$Z$6/(1+$B36)^$L$6+$Z$7/(1+$B36)^$L$7+$Z$8/(1+$B36)^$L$8)+($Z$12/($B36-D$33)/(1+$B36)^$L$8)</f>
        <v>242.45163369611964</v>
      </c>
      <c r="E36" s="150">
        <f>($Y$4/(1+$B36)^$L$4+$Y$5/(1+$B36)^$L$5+$Y$6/(1+$B36)^$L$6+$Y$7/(1+$B36)^$L$7+$Y$8/(1+$B36)^$L$8)+($Y$13/($B36-E$33)/(1+$B36)^$L$8)+($Z$4/(1+$B36)^$L$4+$Z$5/(1+$B36)^$L$5+$Z$6/(1+$B36)^$L$6+$Z$7/(1+$B36)^$L$7+$Z$8/(1+$B36)^$L$8)+($Z$13/($B36-E$33)/(1+$B36)^$L$8)</f>
        <v>191.04708811143303</v>
      </c>
      <c r="F36" s="150">
        <f>($Y$4/(1+$B36)^$L$4+$Y$5/(1+$B36)^$L$5+$Y$6/(1+$B36)^$L$6+$Y$7/(1+$B36)^$L$7+$Y$8/(1+$B36)^$L$8)+($Y$14/($B36-F$33)/(1+$B36)^$L$8)+($Z$4/(1+$B36)^$L$4+$Z$5/(1+$B36)^$L$5+$Z$6/(1+$B36)^$L$6+$Z$7/(1+$B36)^$L$7+$Z$8/(1+$B36)^$L$8)+($Z$14/($B36-F$33)/(1+$B36)^$L$8)</f>
        <v>168.82051994092961</v>
      </c>
      <c r="G36" s="150">
        <f>($Y$4/(1+$B36)^$L$4+$Y$5/(1+$B36)^$L$5+$Y$6/(1+$B36)^$L$6+$Y$7/(1+$B36)^$L$7+$Y$8/(1+$B36)^$L$8)+($Y$15/($B36-G$33)/(1+$B36)^$L$8)+($Z$4/(1+$B36)^$L$4+$Z$5/(1+$B36)^$L$5+$Z$6/(1+$B36)^$L$6+$Z$7/(1+$B36)^$L$7+$Z$8/(1+$B36)^$L$8)+($Z$15/($B36-G$33)/(1+$B36)^$L$8)</f>
        <v>156.42107060916624</v>
      </c>
      <c r="H36" s="224"/>
      <c r="J36" s="146">
        <f>$I$10</f>
        <v>5.5235167163916743E-2</v>
      </c>
      <c r="K36" s="147">
        <f>($Y$4/(1+$J36)^$L$4+$Y$5/(1+$J36)^$L$5+$Y$6/(1+$J36)^$L$6+$Y$7/(1+$J36)^$L$7+$Y$8/(1+$J36)^$L$8)+($V$11*(1-K$33/$AA$11)/($J36-K$33)/(1+$J36)^$L$8)</f>
        <v>33.913127535748878</v>
      </c>
      <c r="L36" s="147">
        <f>($Y$4/(1+$J36)^$L$4+$Y$5/(1+$J36)^$L$5+$Y$6/(1+$J36)^$L$6+$Y$7/(1+$J36)^$L$7+$Y$8/(1+$J36)^$L$8)+($V$12*(1-L$33/$AA$12)/($J36-L$33)/(1+$J36)^$L$8)</f>
        <v>87.354392979334705</v>
      </c>
      <c r="M36" s="147">
        <f>($Y$4/(1+$J36)^$L$4+$Y$5/(1+$J36)^$L$5+$Y$6/(1+$J36)^$L$6+$Y$7/(1+$J36)^$L$7+$Y$8/(1+$J36)^$L$8)+($V$13*(1-M$33/$AA$13)/($J36-M$33)/(1+$J36)^$L$8)</f>
        <v>97.435990732499079</v>
      </c>
      <c r="N36" s="147">
        <f>($Y$4/(1+$J36)^$L$4+$Y$5/(1+$J36)^$L$5+$Y$6/(1+$J36)^$L$6+$Y$7/(1+$J36)^$L$7+$Y$8/(1+$J36)^$L$8)+($V$14*(1-N$33/$AA$14)/($J36-N$33)/(1+$J36)^$L$8)</f>
        <v>101.07530009023138</v>
      </c>
      <c r="O36" s="147">
        <f>($Y$4/(1+$J36)^$L$4+$Y$5/(1+$J36)^$L$5+$Y$6/(1+$J36)^$L$6+$Y$7/(1+$J36)^$L$7+$Y$8/(1+$J36)^$L$8)+($V$15*(1-O$33/$AA$15)/($J36-O$33)/(1+$J36)^$L$8)</f>
        <v>102.54485200533311</v>
      </c>
      <c r="P36" s="242">
        <f>$AA$11</f>
        <v>5.1974417916562293E-2</v>
      </c>
      <c r="Q36" s="174"/>
      <c r="R36" s="234"/>
      <c r="S36" s="149">
        <f>$I$10</f>
        <v>5.5235167163916743E-2</v>
      </c>
      <c r="T36" s="150">
        <f>($Y$4/(1+$S36)^$L$4+$Y$5/(1+$S36)^$L$5+$Y$6/(1+$S36)^$L$6+$Y$7/(1+$S36)^$L$7+$Y$8/(1+$S36)^$L$8)+($Y$11/($S36-T$33)/(1+$S36)^$L$8)+($Z$4/(1+$Y$36)^$L$4+$Z$5/(1+$Y$36)^$L$5+$Z$6/(1+$Y$36)^$L$6+$Z$7/(1+$Y$36)^$L$7+$Z$8/(1+$Y$36)^$L$8)+($Z$11/($Y$36-T$33)/(1+$Y$36)^$L$8)</f>
        <v>490.23785717254606</v>
      </c>
      <c r="U36" s="150">
        <f>($Y$4/(1+$S36)^$L$4+$Y$5/(1+$S36)^$L$5+$Y$6/(1+$S36)^$L$6+$Y$7/(1+$S36)^$L$7+$Y$8/(1+$S36)^$L$8)+($Y$12/($S36-U$33)/(1+$S36)^$L$8)+($Z$4/(1+$Y$36)^$L$4+$Z$5/(1+$Y$36)^$L$5+$Z$6/(1+$Y$36)^$L$6+$Z$7/(1+$Y$36)^$L$7+$Z$8/(1+$Y$36)^$L$8)+($Z$12/($Y$36-U$33)/(1+$Y$36)^$L$8)</f>
        <v>242.45163369611964</v>
      </c>
      <c r="V36" s="150">
        <f>($Y$4/(1+$S36)^$L$4+$Y$5/(1+$S36)^$L$5+$Y$6/(1+$S36)^$L$6+$Y$7/(1+$S36)^$L$7+$Y$8/(1+$S36)^$L$8)+($Y$13/($S36-V$33)/(1+$S36)^$L$8)+($Z$4/(1+$Y$36)^$L$4+$Z$5/(1+$Y$36)^$L$5+$Z$6/(1+$Y$36)^$L$6+$Z$7/(1+$Y$36)^$L$7+$Z$8/(1+$Y$36)^$L$8)+($Z$13/($Y$36-V$33)/(1+$Y$36)^$L$8)</f>
        <v>191.04708811143303</v>
      </c>
      <c r="W36" s="150">
        <f>($Y$4/(1+$S36)^$L$4+$Y$5/(1+$S36)^$L$5+$Y$6/(1+$S36)^$L$6+$Y$7/(1+$S36)^$L$7+$Y$8/(1+$S36)^$L$8)+($Y$14/($S36-W$33)/(1+$S36)^$L$8)+($Z$4/(1+$Y$36)^$L$4+$Z$5/(1+$Y$36)^$L$5+$Z$6/(1+$Y$36)^$L$6+$Z$7/(1+$Y$36)^$L$7+$Z$8/(1+$Y$36)^$L$8)+($Z$14/($Y$36-W$33)/(1+$Y$36)^$L$8)</f>
        <v>168.82051994092961</v>
      </c>
      <c r="X36" s="150">
        <f>($Y$4/(1+$S36)^$L$4+$Y$5/(1+$S36)^$L$5+$Y$6/(1+$S36)^$L$6+$Y$7/(1+$S36)^$L$7+$Y$8/(1+$S36)^$L$8)+($Y$15/($S36-X$33)/(1+$S36)^$L$8)+($Z$4/(1+$Y$36)^$L$4+$Z$5/(1+$Y$36)^$L$5+$Z$6/(1+$Y$36)^$L$6+$Z$7/(1+$Y$36)^$L$7+$Z$8/(1+$Y$36)^$L$8)+($Z$15/($Y$36-X$33)/(1+$Y$36)^$L$8)</f>
        <v>156.42107060916624</v>
      </c>
      <c r="Y36" s="236">
        <f>'Mkt Val without BOP'!$J$7</f>
        <v>5.5235167163916743E-2</v>
      </c>
      <c r="Z36" s="184"/>
      <c r="AA36" s="154">
        <f>$I$10</f>
        <v>5.5235167163916743E-2</v>
      </c>
      <c r="AB36" s="152">
        <f>($Y$4/(1+$AA36)^$L$4+$Y$5/(1+$AA36)^$L$5+$Y$6/(1+$AA36)^$L$6+$Y$7/(1+$AA36)^$L$7+$Y$8/(1+$AA36)^$L$8)+($S$11*$AG$37)/(1+$AA36)^$L$8</f>
        <v>117.49815517340767</v>
      </c>
      <c r="AC36" s="152">
        <f>($Y$4/(1+$AA36)^$L$4+$Y$5/(1+$AA36)^$L$5+$Y$6/(1+$AA36)^$L$6+$Y$7/(1+$AA36)^$L$7+$Y$8/(1+$AA36)^$L$8)+($S$12*$AG$37)/(1+$AA36)^$L$8</f>
        <v>116.2238277724623</v>
      </c>
      <c r="AD36" s="152">
        <f>($Y$4/(1+$AA36)^$L$4+$Y$5/(1+$AA36)^$L$5+$Y$6/(1+$AA36)^$L$6+$Y$7/(1+$AA36)^$L$7+$Y$8/(1+$AA36)^$L$8)+($S$13*$AG$37)/(1+$AA36)^$L$8</f>
        <v>114.94950037151648</v>
      </c>
      <c r="AE36" s="152">
        <f>($Y$4/(1+$AA36)^$L$4+$Y$5/(1+$AA36)^$L$5+$Y$6/(1+$AA36)^$L$6+$Y$7/(1+$AA36)^$L$7+$Y$8/(1+$AA36)^$L$8)+($S$14*$AG$37)/(1+$AA36)^$L$8</f>
        <v>113.67517297057063</v>
      </c>
      <c r="AF36" s="152">
        <f>($Y$4/(1+$AA36)^$L$4+$Y$5/(1+$AA36)^$L$5+$Y$6/(1+$AA36)^$L$6+$Y$7/(1+$AA36)^$L$7+$Y$8/(1+$AA36)^$L$8)+($S$15*$AG$37)/(1+$AA36)^$L$8</f>
        <v>112.40084556962529</v>
      </c>
      <c r="AG36" s="232"/>
    </row>
    <row r="37" spans="1:33" ht="15" customHeight="1" x14ac:dyDescent="0.25">
      <c r="A37" s="241"/>
      <c r="B37" s="149">
        <f>B36+$I$2</f>
        <v>7.5235167163916747E-2</v>
      </c>
      <c r="C37" s="150">
        <f>($Y$4/(1+$B37)^$L$4+$Y$5/(1+$B37)^$L$5+$Y$6/(1+$B37)^$L$6+$Y$7/(1+$B37)^$L$7+$Y$8/(1+$B37)^$L$8)+($Y$11/($B37-C$33)/(1+$B37)^$L$8)+($Z$4/(1+$B37)^$L$4+$Z$5/(1+$B37)^$L$5+$Z$6/(1+$B37)^$L$6+$Z$7/(1+$B37)^$L$7+$Z$8/(1+$B37)^$L$8)+($Z$11/($B37-C$33)/(1+$B37)^$L$8)</f>
        <v>86.926736708131628</v>
      </c>
      <c r="D37" s="150">
        <f>($Y$4/(1+$B37)^$L$4+$Y$5/(1+$B37)^$L$5+$Y$6/(1+$B37)^$L$6+$Y$7/(1+$B37)^$L$7+$Y$8/(1+$B37)^$L$8)+($Y$12/($B37-D$33)/(1+$B37)^$L$8)+($Z$4/(1+$B37)^$L$4+$Z$5/(1+$B37)^$L$5+$Z$6/(1+$B37)^$L$6+$Z$7/(1+$B37)^$L$7+$Z$8/(1+$B37)^$L$8)+($Z$12/($B37-D$33)/(1+$B37)^$L$8)</f>
        <v>91.310784843844658</v>
      </c>
      <c r="E37" s="150">
        <f>($Y$4/(1+$B37)^$L$4+$Y$5/(1+$B37)^$L$5+$Y$6/(1+$B37)^$L$6+$Y$7/(1+$B37)^$L$7+$Y$8/(1+$B37)^$L$8)+($Y$13/($B37-E$33)/(1+$B37)^$L$8)+($Z$4/(1+$B37)^$L$4+$Z$5/(1+$B37)^$L$5+$Z$6/(1+$B37)^$L$6+$Z$7/(1+$B37)^$L$7+$Z$8/(1+$B37)^$L$8)+($Z$13/($B37-E$33)/(1+$B37)^$L$8)</f>
        <v>93.756496764361302</v>
      </c>
      <c r="F37" s="150">
        <f>($Y$4/(1+$B37)^$L$4+$Y$5/(1+$B37)^$L$5+$Y$6/(1+$B37)^$L$6+$Y$7/(1+$B37)^$L$7+$Y$8/(1+$B37)^$L$8)+($Y$14/($B37-F$33)/(1+$B37)^$L$8)+($Z$4/(1+$B37)^$L$4+$Z$5/(1+$B37)^$L$5+$Z$6/(1+$B37)^$L$6+$Z$7/(1+$B37)^$L$7+$Z$8/(1+$B37)^$L$8)+($Z$14/($B37-F$33)/(1+$B37)^$L$8)</f>
        <v>95.316645357710428</v>
      </c>
      <c r="G37" s="150">
        <f>($Y$4/(1+$B37)^$L$4+$Y$5/(1+$B37)^$L$5+$Y$6/(1+$B37)^$L$6+$Y$7/(1+$B37)^$L$7+$Y$8/(1+$B37)^$L$8)+($Y$15/($B37-G$33)/(1+$B37)^$L$8)+($Z$4/(1+$B37)^$L$4+$Z$5/(1+$B37)^$L$5+$Z$6/(1+$B37)^$L$6+$Z$7/(1+$B37)^$L$7+$Z$8/(1+$B37)^$L$8)+($Z$15/($B37-G$33)/(1+$B37)^$L$8)</f>
        <v>96.398478753543969</v>
      </c>
      <c r="H37" s="224"/>
      <c r="J37" s="146">
        <f>J36+$I$2</f>
        <v>7.5235167163916747E-2</v>
      </c>
      <c r="K37" s="147">
        <f>($Y$4/(1+$J37)^$L$4+$Y$5/(1+$J37)^$L$5+$Y$6/(1+$J37)^$L$6+$Y$7/(1+$J37)^$L$7+$Y$8/(1+$J37)^$L$8)+($V$11*(1-K$33/$AA$11)/($J37-K$33)/(1+$J37)^$L$8)</f>
        <v>-5.9172151001060467</v>
      </c>
      <c r="L37" s="147">
        <f>($Y$4/(1+$J37)^$L$4+$Y$5/(1+$J37)^$L$5+$Y$6/(1+$J37)^$L$6+$Y$7/(1+$J37)^$L$7+$Y$8/(1+$J37)^$L$8)+($V$12*(1-L$33/$AA$12)/($J37-L$33)/(1+$J37)^$L$8)</f>
        <v>25.40309175523673</v>
      </c>
      <c r="M37" s="147">
        <f>($Y$4/(1+$J37)^$L$4+$Y$5/(1+$J37)^$L$5+$Y$6/(1+$J37)^$L$6+$Y$7/(1+$J37)^$L$7+$Y$8/(1+$J37)^$L$8)+($V$13*(1-M$33/$AA$13)/($J37-M$33)/(1+$J37)^$L$8)</f>
        <v>42.365176480531481</v>
      </c>
      <c r="N37" s="147">
        <f>($Y$4/(1+$J37)^$L$4+$Y$5/(1+$J37)^$L$5+$Y$6/(1+$J37)^$L$6+$Y$7/(1+$J37)^$L$7+$Y$8/(1+$J37)^$L$8)+($V$14*(1-N$33/$AA$14)/($J37-N$33)/(1+$J37)^$L$8)</f>
        <v>52.767452405879531</v>
      </c>
      <c r="O37" s="147">
        <f>($Y$4/(1+$J37)^$L$4+$Y$5/(1+$J37)^$L$5+$Y$6/(1+$J37)^$L$6+$Y$7/(1+$J37)^$L$7+$Y$8/(1+$J37)^$L$8)+($V$15*(1-O$33/$AA$15)/($J37-O$33)/(1+$J37)^$L$8)</f>
        <v>59.626609340689022</v>
      </c>
      <c r="P37" s="242"/>
      <c r="Q37" s="174"/>
      <c r="R37" s="234"/>
      <c r="S37" s="149">
        <f>S36+$I$2</f>
        <v>7.5235167163916747E-2</v>
      </c>
      <c r="T37" s="150">
        <f t="shared" ref="T37:T38" si="11">($Y$4/(1+$S37)^$L$4+$Y$5/(1+$S37)^$L$5+$Y$6/(1+$S37)^$L$6+$Y$7/(1+$S37)^$L$7+$Y$8/(1+$S37)^$L$8)+($Y$11/($S37-T$33)/(1+$S37)^$L$8)+($Z$4/(1+$Y$36)^$L$4+$Z$5/(1+$Y$36)^$L$5+$Z$6/(1+$Y$36)^$L$6+$Z$7/(1+$Y$36)^$L$7+$Z$8/(1+$Y$36)^$L$8)+($Z$11/($Y$36-T$33)/(1+$Y$36)^$L$8)</f>
        <v>401.28558520446302</v>
      </c>
      <c r="U37" s="150">
        <f t="shared" ref="U37:U38" si="12">($Y$4/(1+$S37)^$L$4+$Y$5/(1+$S37)^$L$5+$Y$6/(1+$S37)^$L$6+$Y$7/(1+$S37)^$L$7+$Y$8/(1+$S37)^$L$8)+($Y$12/($S37-U$33)/(1+$S37)^$L$8)+($Z$4/(1+$Y$36)^$L$4+$Z$5/(1+$Y$36)^$L$5+$Z$6/(1+$Y$36)^$L$6+$Z$7/(1+$Y$36)^$L$7+$Z$8/(1+$Y$36)^$L$8)+($Z$12/($Y$36-U$33)/(1+$Y$36)^$L$8)</f>
        <v>172.42470757009448</v>
      </c>
      <c r="V37" s="150">
        <f t="shared" ref="V37:V38" si="13">($Y$4/(1+$S37)^$L$4+$Y$5/(1+$S37)^$L$5+$Y$6/(1+$S37)^$L$6+$Y$7/(1+$S37)^$L$7+$Y$8/(1+$S37)^$L$8)+($Y$13/($S37-V$33)/(1+$S37)^$L$8)+($Z$4/(1+$Y$36)^$L$4+$Z$5/(1+$Y$36)^$L$5+$Z$6/(1+$Y$36)^$L$6+$Z$7/(1+$Y$36)^$L$7+$Z$8/(1+$Y$36)^$L$8)+($Z$13/($Y$36-V$33)/(1+$Y$36)^$L$8)</f>
        <v>133.75049093847852</v>
      </c>
      <c r="W37" s="150">
        <f t="shared" ref="W37:W38" si="14">($Y$4/(1+$S37)^$L$4+$Y$5/(1+$S37)^$L$5+$Y$6/(1+$S37)^$L$6+$Y$7/(1+$S37)^$L$7+$Y$8/(1+$S37)^$L$8)+($Y$14/($S37-W$33)/(1+$S37)^$L$8)+($Z$4/(1+$Y$36)^$L$4+$Z$5/(1+$Y$36)^$L$5+$Z$6/(1+$Y$36)^$L$6+$Z$7/(1+$Y$36)^$L$7+$Z$8/(1+$Y$36)^$L$8)+($Z$14/($Y$36-W$33)/(1+$Y$36)^$L$8)</f>
        <v>119.90909983039904</v>
      </c>
      <c r="X37" s="150">
        <f t="shared" ref="X37:X38" si="15">($Y$4/(1+$S37)^$L$4+$Y$5/(1+$S37)^$L$5+$Y$6/(1+$S37)^$L$6+$Y$7/(1+$S37)^$L$7+$Y$8/(1+$S37)^$L$8)+($Y$15/($S37-X$33)/(1+$S37)^$L$8)+($Z$4/(1+$Y$36)^$L$4+$Z$5/(1+$Y$36)^$L$5+$Z$6/(1+$Y$36)^$L$6+$Z$7/(1+$Y$36)^$L$7+$Z$8/(1+$Y$36)^$L$8)+($Z$15/($Y$36-X$33)/(1+$Y$36)^$L$8)</f>
        <v>113.3994586852711</v>
      </c>
      <c r="Y37" s="236"/>
      <c r="Z37" s="184"/>
      <c r="AA37" s="154">
        <f>AA36+$I$2</f>
        <v>7.5235167163916747E-2</v>
      </c>
      <c r="AB37" s="152">
        <f>($Y$4/(1+$AA37)^$L$4+$Y$5/(1+$AA37)^$L$5+$Y$6/(1+$AA37)^$L$6+$Y$7/(1+$AA37)^$L$7+$Y$8/(1+$AA37)^$L$8)+($S$11*$AG$37)/(1+$AA37)^$L$8</f>
        <v>106.41265478347975</v>
      </c>
      <c r="AC37" s="152">
        <f>($Y$4/(1+$AA37)^$L$4+$Y$5/(1+$AA37)^$L$5+$Y$6/(1+$AA37)^$L$6+$Y$7/(1+$AA37)^$L$7+$Y$8/(1+$AA37)^$L$8)+($S$12*$AG$37)/(1+$AA37)^$L$8</f>
        <v>105.25251584967086</v>
      </c>
      <c r="AD37" s="152">
        <f>($Y$4/(1+$AA37)^$L$4+$Y$5/(1+$AA37)^$L$5+$Y$6/(1+$AA37)^$L$6+$Y$7/(1+$AA37)^$L$7+$Y$8/(1+$AA37)^$L$8)+($S$13*$AG$37)/(1+$AA37)^$L$8</f>
        <v>104.09237691586154</v>
      </c>
      <c r="AE37" s="152">
        <f>($Y$4/(1+$AA37)^$L$4+$Y$5/(1+$AA37)^$L$5+$Y$6/(1+$AA37)^$L$6+$Y$7/(1+$AA37)^$L$7+$Y$8/(1+$AA37)^$L$8)+($S$14*$AG$37)/(1+$AA37)^$L$8</f>
        <v>102.93223798205219</v>
      </c>
      <c r="AF37" s="152">
        <f>($Y$4/(1+$AA37)^$L$4+$Y$5/(1+$AA37)^$L$5+$Y$6/(1+$AA37)^$L$6+$Y$7/(1+$AA37)^$L$7+$Y$8/(1+$AA37)^$L$8)+($S$15*$AG$37)/(1+$AA37)^$L$8</f>
        <v>101.77209904824329</v>
      </c>
      <c r="AG37" s="240">
        <f>'Fin Stmt'!P44</f>
        <v>12.76033478951298</v>
      </c>
    </row>
    <row r="38" spans="1:33" ht="15" customHeight="1" x14ac:dyDescent="0.25">
      <c r="A38" s="241"/>
      <c r="B38" s="149">
        <f>B37+$I$2</f>
        <v>9.5235167163916751E-2</v>
      </c>
      <c r="C38" s="150">
        <f>($Y$4/(1+$B38)^$L$4+$Y$5/(1+$B38)^$L$5+$Y$6/(1+$B38)^$L$6+$Y$7/(1+$B38)^$L$7+$Y$8/(1+$B38)^$L$8)+($Y$11/($B38-C$33)/(1+$B38)^$L$8)+($Z$4/(1+$B38)^$L$4+$Z$5/(1+$B38)^$L$5+$Z$6/(1+$B38)^$L$6+$Z$7/(1+$B38)^$L$7+$Z$8/(1+$B38)^$L$8)+($Z$11/($B38-C$33)/(1+$B38)^$L$8)</f>
        <v>41.128622794154296</v>
      </c>
      <c r="D38" s="150">
        <f>($Y$4/(1+$B38)^$L$4+$Y$5/(1+$B38)^$L$5+$Y$6/(1+$B38)^$L$6+$Y$7/(1+$B38)^$L$7+$Y$8/(1+$B38)^$L$8)+($Y$12/($B38-D$33)/(1+$B38)^$L$8)+($Z$4/(1+$B38)^$L$4+$Z$5/(1+$B38)^$L$5+$Z$6/(1+$B38)^$L$6+$Z$7/(1+$B38)^$L$7+$Z$8/(1+$B38)^$L$8)+($Z$12/($B38-D$33)/(1+$B38)^$L$8)</f>
        <v>50.541321264355396</v>
      </c>
      <c r="E38" s="150">
        <f>($Y$4/(1+$B38)^$L$4+$Y$5/(1+$B38)^$L$5+$Y$6/(1+$B38)^$L$6+$Y$7/(1+$B38)^$L$7+$Y$8/(1+$B38)^$L$8)+($Y$13/($B38-E$33)/(1+$B38)^$L$8)+($Z$4/(1+$B38)^$L$4+$Z$5/(1+$B38)^$L$5+$Z$6/(1+$B38)^$L$6+$Z$7/(1+$B38)^$L$7+$Z$8/(1+$B38)^$L$8)+($Z$13/($B38-E$33)/(1+$B38)^$L$8)</f>
        <v>57.068245426183623</v>
      </c>
      <c r="F38" s="150">
        <f>($Y$4/(1+$B38)^$L$4+$Y$5/(1+$B38)^$L$5+$Y$6/(1+$B38)^$L$6+$Y$7/(1+$B38)^$L$7+$Y$8/(1+$B38)^$L$8)+($Y$14/($B38-F$33)/(1+$B38)^$L$8)+($Z$4/(1+$B38)^$L$4+$Z$5/(1+$B38)^$L$5+$Z$6/(1+$B38)^$L$6+$Z$7/(1+$B38)^$L$7+$Z$8/(1+$B38)^$L$8)+($Z$14/($B38-F$33)/(1+$B38)^$L$8)</f>
        <v>61.860096906480379</v>
      </c>
      <c r="G38" s="150">
        <f>($Y$4/(1+$B38)^$L$4+$Y$5/(1+$B38)^$L$5+$Y$6/(1+$B38)^$L$6+$Y$7/(1+$B38)^$L$7+$Y$8/(1+$B38)^$L$8)+($Y$15/($B38-G$33)/(1+$B38)^$L$8)+($Z$4/(1+$B38)^$L$4+$Z$5/(1+$B38)^$L$5+$Z$6/(1+$B38)^$L$6+$Z$7/(1+$B38)^$L$7+$Z$8/(1+$B38)^$L$8)+($Z$15/($B38-G$33)/(1+$B38)^$L$8)</f>
        <v>65.527564722208069</v>
      </c>
      <c r="H38" s="224"/>
      <c r="J38" s="146">
        <f>J37+$I$2</f>
        <v>9.5235167163916751E-2</v>
      </c>
      <c r="K38" s="147">
        <f>($Y$4/(1+$J38)^$L$4+$Y$5/(1+$J38)^$L$5+$Y$6/(1+$J38)^$L$6+$Y$7/(1+$J38)^$L$7+$Y$8/(1+$J38)^$L$8)+($V$11*(1-K$33/$AA$11)/($J38-K$33)/(1+$J38)^$L$8)</f>
        <v>-9.7476691166737499</v>
      </c>
      <c r="L38" s="147">
        <f>($Y$4/(1+$J38)^$L$4+$Y$5/(1+$J38)^$L$5+$Y$6/(1+$J38)^$L$6+$Y$7/(1+$J38)^$L$7+$Y$8/(1+$J38)^$L$8)+($V$12*(1-L$33/$AA$12)/($J38-L$33)/(1+$J38)^$L$8)</f>
        <v>9.165492897746347</v>
      </c>
      <c r="M38" s="147">
        <f>($Y$4/(1+$J38)^$L$4+$Y$5/(1+$J38)^$L$5+$Y$6/(1+$J38)^$L$6+$Y$7/(1+$J38)^$L$7+$Y$8/(1+$J38)^$L$8)+($V$13*(1-M$33/$AA$13)/($J38-M$33)/(1+$J38)^$L$8)</f>
        <v>21.957400995625655</v>
      </c>
      <c r="N38" s="147">
        <f>($Y$4/(1+$J38)^$L$4+$Y$5/(1+$J38)^$L$5+$Y$6/(1+$J38)^$L$6+$Y$7/(1+$J38)^$L$7+$Y$8/(1+$J38)^$L$8)+($V$14*(1-N$33/$AA$14)/($J38-N$33)/(1+$J38)^$L$8)</f>
        <v>31.068903312466404</v>
      </c>
      <c r="O38" s="147">
        <f>($Y$4/(1+$J38)^$L$4+$Y$5/(1+$J38)^$L$5+$Y$6/(1+$J38)^$L$6+$Y$7/(1+$J38)^$L$7+$Y$8/(1+$J38)^$L$8)+($V$15*(1-O$33/$AA$15)/($J38-O$33)/(1+$J38)^$L$8)</f>
        <v>37.795382694398775</v>
      </c>
      <c r="P38" s="242"/>
      <c r="Q38" s="174"/>
      <c r="R38" s="234"/>
      <c r="S38" s="149">
        <f>S37+$I$2</f>
        <v>9.5235167163916751E-2</v>
      </c>
      <c r="T38" s="150">
        <f t="shared" si="11"/>
        <v>391.83647518432809</v>
      </c>
      <c r="U38" s="150">
        <f t="shared" si="12"/>
        <v>153.9944283227382</v>
      </c>
      <c r="V38" s="150">
        <f t="shared" si="13"/>
        <v>112.49826657685675</v>
      </c>
      <c r="W38" s="150">
        <f t="shared" si="14"/>
        <v>97.934258821252101</v>
      </c>
      <c r="X38" s="150">
        <f t="shared" si="15"/>
        <v>91.514781108373171</v>
      </c>
      <c r="Y38" s="236"/>
      <c r="Z38" s="184"/>
      <c r="AA38" s="154">
        <f>AA37+$I$2</f>
        <v>9.5235167163916751E-2</v>
      </c>
      <c r="AB38" s="152">
        <f>($Y$4/(1+$AA38)^$L$4+$Y$5/(1+$AA38)^$L$5+$Y$6/(1+$AA38)^$L$6+$Y$7/(1+$AA38)^$L$7+$Y$8/(1+$AA38)^$L$8)+($S$11*$AG$37)/(1+$AA38)^$L$8</f>
        <v>96.518125178078677</v>
      </c>
      <c r="AC38" s="152">
        <f>($Y$4/(1+$AA38)^$L$4+$Y$5/(1+$AA38)^$L$5+$Y$6/(1+$AA38)^$L$6+$Y$7/(1+$AA38)^$L$7+$Y$8/(1+$AA38)^$L$8)+($S$12*$AG$37)/(1+$AA38)^$L$8</f>
        <v>95.460113645437545</v>
      </c>
      <c r="AD38" s="152">
        <f>($Y$4/(1+$AA38)^$L$4+$Y$5/(1+$AA38)^$L$5+$Y$6/(1+$AA38)^$L$6+$Y$7/(1+$AA38)^$L$7+$Y$8/(1+$AA38)^$L$8)+($S$13*$AG$37)/(1+$AA38)^$L$8</f>
        <v>94.402102112796044</v>
      </c>
      <c r="AE38" s="152">
        <f>($Y$4/(1+$AA38)^$L$4+$Y$5/(1+$AA38)^$L$5+$Y$6/(1+$AA38)^$L$6+$Y$7/(1+$AA38)^$L$7+$Y$8/(1+$AA38)^$L$8)+($S$14*$AG$37)/(1+$AA38)^$L$8</f>
        <v>93.344090580154514</v>
      </c>
      <c r="AF38" s="152">
        <f>($Y$4/(1+$AA38)^$L$4+$Y$5/(1+$AA38)^$L$5+$Y$6/(1+$AA38)^$L$6+$Y$7/(1+$AA38)^$L$7+$Y$8/(1+$AA38)^$L$8)+($S$15*$AG$37)/(1+$AA38)^$L$8</f>
        <v>92.286079047513397</v>
      </c>
      <c r="AG38" s="240"/>
    </row>
    <row r="39" spans="1:33" ht="15" customHeight="1" x14ac:dyDescent="0.25">
      <c r="A39" s="159"/>
      <c r="B39" s="154"/>
      <c r="C39" s="152"/>
      <c r="D39" s="152"/>
      <c r="E39" s="152"/>
      <c r="F39" s="152"/>
      <c r="G39" s="152"/>
      <c r="H39" s="158"/>
      <c r="J39" s="155"/>
      <c r="L39" s="159"/>
      <c r="R39" s="24"/>
      <c r="S39" s="24"/>
      <c r="T39" s="24"/>
      <c r="U39" s="24"/>
      <c r="V39" s="24"/>
      <c r="W39" s="24"/>
      <c r="X39" s="24"/>
      <c r="Y39" s="24"/>
      <c r="Z39" s="171"/>
      <c r="AA39" s="154"/>
      <c r="AB39" s="152"/>
      <c r="AC39" s="152"/>
      <c r="AD39" s="152"/>
      <c r="AE39" s="152"/>
      <c r="AF39" s="152"/>
      <c r="AG39" s="161"/>
    </row>
    <row r="40" spans="1:33" ht="15" customHeight="1" x14ac:dyDescent="0.25">
      <c r="A40" s="93"/>
      <c r="B40" s="93"/>
      <c r="C40" s="154">
        <f>D40+$I$5</f>
        <v>0.05</v>
      </c>
      <c r="D40" s="154">
        <f>E40+$I$5</f>
        <v>0.04</v>
      </c>
      <c r="E40" s="154">
        <f>$I$11</f>
        <v>0.03</v>
      </c>
      <c r="F40" s="154">
        <f>E40-$I$5</f>
        <v>1.9999999999999997E-2</v>
      </c>
      <c r="G40" s="154">
        <f>F40-$I$5</f>
        <v>9.9999999999999967E-3</v>
      </c>
      <c r="H40" s="225" t="s">
        <v>219</v>
      </c>
      <c r="J40" s="145"/>
      <c r="K40" s="146">
        <f>L40+$I$5</f>
        <v>0.05</v>
      </c>
      <c r="L40" s="146">
        <f>M40+$I$5</f>
        <v>0.04</v>
      </c>
      <c r="M40" s="146">
        <f>$I$11</f>
        <v>0.03</v>
      </c>
      <c r="N40" s="146">
        <f>M40-$I$5</f>
        <v>1.9999999999999997E-2</v>
      </c>
      <c r="O40" s="146">
        <f>N40-$I$5</f>
        <v>9.9999999999999967E-3</v>
      </c>
      <c r="P40" s="230" t="s">
        <v>223</v>
      </c>
      <c r="Q40" s="164"/>
      <c r="R40" s="24"/>
      <c r="S40" s="148"/>
      <c r="T40" s="149">
        <f>U40+$I$5</f>
        <v>0.05</v>
      </c>
      <c r="U40" s="149">
        <f>V40+$I$5</f>
        <v>0.04</v>
      </c>
      <c r="V40" s="149">
        <f>$I$11</f>
        <v>0.03</v>
      </c>
      <c r="W40" s="149">
        <f>V40-$I$5</f>
        <v>1.9999999999999997E-2</v>
      </c>
      <c r="X40" s="149">
        <f>W40-$I$5</f>
        <v>9.9999999999999967E-3</v>
      </c>
      <c r="Y40" s="231" t="s">
        <v>227</v>
      </c>
      <c r="Z40" s="13"/>
      <c r="AA40" s="93"/>
      <c r="AB40" s="154">
        <f>AC40+$I$5</f>
        <v>0.05</v>
      </c>
      <c r="AC40" s="154">
        <f>AD40+$I$5</f>
        <v>0.04</v>
      </c>
      <c r="AD40" s="154">
        <f>$I$11</f>
        <v>0.03</v>
      </c>
      <c r="AE40" s="154">
        <f>AD40-$I$5</f>
        <v>1.9999999999999997E-2</v>
      </c>
      <c r="AF40" s="154">
        <f>AE40-$I$5</f>
        <v>9.9999999999999967E-3</v>
      </c>
      <c r="AG40" s="232" t="s">
        <v>225</v>
      </c>
    </row>
    <row r="41" spans="1:33" ht="15" customHeight="1" x14ac:dyDescent="0.25">
      <c r="A41" s="238" t="s">
        <v>210</v>
      </c>
      <c r="B41" s="154">
        <f>B42-$I$2</f>
        <v>1.5235167163916739E-2</v>
      </c>
      <c r="C41" s="152">
        <f>($Y$4/(1+$AA41)^$L$4+$Y$5/(1+$AA41)^$L$5+$Y$6/(1+$AA41)^$L$6+$Y$7/(1+$AA41)^$L$7+$Y$8/(1+$AA41)^$L$8)+($S$11*$AG$37)/(1+$AA41)^$L$8</f>
        <v>143.94562528894886</v>
      </c>
      <c r="D41" s="152">
        <f>($Y$4/(1+$AA41)^$L$4+$Y$5/(1+$AA41)^$L$5+$Y$6/(1+$AA41)^$L$6+$Y$7/(1+$AA41)^$L$7+$Y$8/(1+$AA41)^$L$8)+($S$12*$AG$37)/(1+$AA41)^$L$8</f>
        <v>142.39968029446214</v>
      </c>
      <c r="E41" s="152">
        <f>($Y$4/(1+$AA41)^$L$4+$Y$5/(1+$AA41)^$L$5+$Y$6/(1+$AA41)^$L$6+$Y$7/(1+$AA41)^$L$7+$Y$8/(1+$AA41)^$L$8)+($S$13*$AG$37)/(1+$AA41)^$L$8</f>
        <v>140.85373529997491</v>
      </c>
      <c r="F41" s="152">
        <f>($Y$4/(1+$AA41)^$L$4+$Y$5/(1+$AA41)^$L$5+$Y$6/(1+$AA41)^$L$6+$Y$7/(1+$AA41)^$L$7+$Y$8/(1+$AA41)^$L$8)+($S$14*$AG$37)/(1+$AA41)^$L$8</f>
        <v>139.30779030548763</v>
      </c>
      <c r="G41" s="152">
        <f>($Y$4/(1+$AA41)^$L$4+$Y$5/(1+$AA41)^$L$5+$Y$6/(1+$AA41)^$L$6+$Y$7/(1+$AA41)^$L$7+$Y$8/(1+$AA41)^$L$8)+($S$15*$AG$37)/(1+$AA41)^$L$8</f>
        <v>137.76184531100097</v>
      </c>
      <c r="H41" s="225"/>
      <c r="J41" s="146">
        <f>J42-$I$2</f>
        <v>1.5235167163916739E-2</v>
      </c>
      <c r="K41" s="147">
        <f>($Y$4/(1+$J41)^$L$4+$Y$5/(1+$J41)^$L$5+$Y$6/(1+$J41)^$L$6+$Y$7/(1+$J41)^$L$7+$Y$8/(1+$J41)^$L$8)+($V$11*(1-K$40/($AA$11+$I$3))/($J41-K$40)/(1+$J41)^$L$8)</f>
        <v>-92.112001772244611</v>
      </c>
      <c r="L41" s="147">
        <f>($Y$4/(1+$J41)^$L$4+$Y$5/(1+$J41)^$L$5+$Y$6/(1+$J41)^$L$6+$Y$7/(1+$J41)^$L$7+$Y$8/(1+$J41)^$L$8)+($V$12*(1-L$40/($AA$12+$I$3))/($J41-L$40)/(1+$J41)^$L$8)</f>
        <v>-167.55438287576311</v>
      </c>
      <c r="M41" s="147">
        <f>($Y$4/(1+$J41)^$L$4+$Y$5/(1+$J41)^$L$5+$Y$6/(1+$J41)^$L$6+$Y$7/(1+$J41)^$L$7+$Y$8/(1+$J41)^$L$8)+($V$13*(1-M$40/($AA$13+$I$3))/($J41-M$40)/(1+$J41)^$L$8)</f>
        <v>-343.68388135835954</v>
      </c>
      <c r="N41" s="147">
        <f>($Y$4/(1+$J41)^$L$4+$Y$5/(1+$J41)^$L$5+$Y$6/(1+$J41)^$L$6+$Y$7/(1+$J41)^$L$7+$Y$8/(1+$J41)^$L$8)+($V$14*(1-N$40/($AA$14+$I$3))/($J41-N$40)/(1+$J41)^$L$8)</f>
        <v>-1254.4395304003338</v>
      </c>
      <c r="O41" s="147">
        <f>($Y$4/(1+$J41)^$L$4+$Y$5/(1+$J41)^$L$5+$Y$6/(1+$J41)^$L$6+$Y$7/(1+$J41)^$L$7+$Y$8/(1+$J41)^$L$8)+($V$15*(1-O$40/($AA$15+$I$3))/($J41-O$40)/(1+$J41)^$L$8)</f>
        <v>1309.9362243860944</v>
      </c>
      <c r="P41" s="230"/>
      <c r="Q41" s="164"/>
      <c r="R41" s="234" t="s">
        <v>233</v>
      </c>
      <c r="S41" s="149">
        <f>S42-$I$2</f>
        <v>1.5235167163916739E-2</v>
      </c>
      <c r="T41" s="150">
        <f>($Y$4/(1+$S41)^$L$4+$Y$5/(1+$S41)^$L$5+$Y$6/(1+$S41)^$L$6+$Y$7/(1+$S41)^$L$7+$Y$8/(1+$S41)^$L$8)+($Y$11/($S41-T$40)/(1+$S41)^$L$8)+($Z$4/(1+$Y$43)^$L$4+$Z$5/(1+$Y$43)^$L$5+$Z$6/(1+$Y$43)^$L$6+$Z$7/(1+$Y$43)^$L$7+$Z$8/(1+$Y$43)^$L$8)+($Z$11/($Y$43-T$40)/(1+$Y$43)^$L$8)</f>
        <v>42.790052388361396</v>
      </c>
      <c r="U41" s="150">
        <f>($Y$4/(1+$S41)^$L$4+$Y$5/(1+$S41)^$L$5+$Y$6/(1+$S41)^$L$6+$Y$7/(1+$S41)^$L$7+$Y$8/(1+$S41)^$L$8)+($Y12/($S41-U$40)/(1+$S41)^$L$8)+($Z$4/(1+$Y$43)^$L$4+$Z$5/(1+$Y$43)^$L$5+$Z$6/(1+$Y$43)^$L$6+$Z$7/(1+$Y$43)^$L$7+$Z$8/(1+$Y$43)^$L$8)+($Z12/($Y$43-U$40)/(1+$Y$43)^$L$8)</f>
        <v>-45.017087517041446</v>
      </c>
      <c r="V41" s="150">
        <f>($Y$4/(1+$S41)^$L$4+$Y$5/(1+$S41)^$L$5+$Y$6/(1+$S41)^$L$6+$Y$7/(1+$S41)^$L$7+$Y$8/(1+$S41)^$L$8)+($Y13/($S41-V$40)/(1+$S41)^$L$8)+($Z$4/(1+$Y$43)^$L$4+$Z$5/(1+$Y$43)^$L$5+$Z$6/(1+$Y$43)^$L$6+$Z$7/(1+$Y$43)^$L$7+$Z$8/(1+$Y$43)^$L$8)+($Z13/($Y$43-V$40)/(1+$Y$43)^$L$8)</f>
        <v>-214.499319461406</v>
      </c>
      <c r="W41" s="150">
        <f>($Y$4/(1+$S41)^$L$4+$Y$5/(1+$S41)^$L$5+$Y$6/(1+$S41)^$L$6+$Y$7/(1+$S41)^$L$7+$Y$8/(1+$S41)^$L$8)+($Y14/($S41-W$40)/(1+$S41)^$L$8)+($Z$4/(1+$Y$43)^$L$4+$Z$5/(1+$Y$43)^$L$5+$Z$6/(1+$Y$43)^$L$6+$Z$7/(1+$Y$43)^$L$7+$Z$8/(1+$Y$43)^$L$8)+($Z14/($Y$43-W$40)/(1+$Y$43)^$L$8)</f>
        <v>-1042.6122461126661</v>
      </c>
      <c r="X41" s="150">
        <f>($Y$4/(1+$S41)^$L$4+$Y$5/(1+$S41)^$L$5+$Y$6/(1+$S41)^$L$6+$Y$7/(1+$S41)^$L$7+$Y$8/(1+$S41)^$L$8)+($Y15/($S41-X$40)/(1+$S41)^$L$8)+($Z$4/(1+$Y$43)^$L$4+$Z$5/(1+$Y$43)^$L$5+$Z$6/(1+$Y$43)^$L$6+$Z$7/(1+$Y$43)^$L$7+$Z$8/(1+$Y$43)^$L$8)+($Z15/($Y$43-X$40)/(1+$Y$43)^$L$8)</f>
        <v>1266.9935650531984</v>
      </c>
      <c r="Y41" s="231"/>
      <c r="Z41" s="184"/>
      <c r="AA41" s="154">
        <f>AA42-$I$2</f>
        <v>1.5235167163916739E-2</v>
      </c>
      <c r="AB41" s="152">
        <f>($Y$4/(1+$AA41)^$L$4+$Y$5/(1+$AA41)^$L$5+$Y$6/(1+$AA41)^$L$6+$Y$7/(1+$AA41)^$L$7+$Y$8/(1+$AA41)^$L$8)+($S$11*$AG$23)/(1+$AA41)^$L$8</f>
        <v>93.061623544872006</v>
      </c>
      <c r="AC41" s="152">
        <f>($Y$4/(1+$AA41)^$L$4+$Y$5/(1+$AA41)^$L$5+$Y$6/(1+$AA41)^$L$6+$Y$7/(1+$AA41)^$L$7+$Y$8/(1+$AA41)^$L$8)+($S$12*$AG$23)/(1+$AA41)^$L$8</f>
        <v>92.000288090804972</v>
      </c>
      <c r="AD41" s="152">
        <f>($Y$4/(1+$AA41)^$L$4+$Y$5/(1+$AA41)^$L$5+$Y$6/(1+$AA41)^$L$6+$Y$7/(1+$AA41)^$L$7+$Y$8/(1+$AA41)^$L$8)+($S$13*$AG$23)/(1+$AA41)^$L$8</f>
        <v>90.93895263673754</v>
      </c>
      <c r="AE41" s="152">
        <f>($Y$4/(1+$AA41)^$L$4+$Y$5/(1+$AA41)^$L$5+$Y$6/(1+$AA41)^$L$6+$Y$7/(1+$AA41)^$L$7+$Y$8/(1+$AA41)^$L$8)+($S$14*$AG$23)/(1+$AA41)^$L$8</f>
        <v>89.877617182670107</v>
      </c>
      <c r="AF41" s="152">
        <f>($Y$4/(1+$AA41)^$L$4+$Y$5/(1+$AA41)^$L$5+$Y$6/(1+$AA41)^$L$6+$Y$7/(1+$AA41)^$L$7+$Y$8/(1+$AA41)^$L$8)+($S$15*$AG$23)/(1+$AA41)^$L$8</f>
        <v>88.816281728603073</v>
      </c>
      <c r="AG41" s="232"/>
    </row>
    <row r="42" spans="1:33" ht="15" customHeight="1" x14ac:dyDescent="0.25">
      <c r="A42" s="238"/>
      <c r="B42" s="154">
        <f>B43-$I$2</f>
        <v>3.5235167163916739E-2</v>
      </c>
      <c r="C42" s="152">
        <f>($Y$4/(1+$AA42)^$L$4+$Y$5/(1+$AA42)^$L$5+$Y$6/(1+$AA42)^$L$6+$Y$7/(1+$AA42)^$L$7+$Y$8/(1+$AA42)^$L$8)+($S$11*$AG$37)/(1+$AA42)^$L$8</f>
        <v>129.94355660867748</v>
      </c>
      <c r="D42" s="152">
        <f>($Y$4/(1+$AA42)^$L$4+$Y$5/(1+$AA42)^$L$5+$Y$6/(1+$AA42)^$L$6+$Y$7/(1+$AA42)^$L$7+$Y$8/(1+$AA42)^$L$8)+($S$12*$AG$37)/(1+$AA42)^$L$8</f>
        <v>128.5412847469986</v>
      </c>
      <c r="E42" s="152">
        <f>($Y$4/(1+$AA42)^$L$4+$Y$5/(1+$AA42)^$L$5+$Y$6/(1+$AA42)^$L$6+$Y$7/(1+$AA42)^$L$7+$Y$8/(1+$AA42)^$L$8)+($S$13*$AG$37)/(1+$AA42)^$L$8</f>
        <v>127.13901288531923</v>
      </c>
      <c r="F42" s="152">
        <f>($Y$4/(1+$AA42)^$L$4+$Y$5/(1+$AA42)^$L$5+$Y$6/(1+$AA42)^$L$6+$Y$7/(1+$AA42)^$L$7+$Y$8/(1+$AA42)^$L$8)+($S$14*$AG$37)/(1+$AA42)^$L$8</f>
        <v>125.73674102363984</v>
      </c>
      <c r="G42" s="152">
        <f>($Y$4/(1+$AA42)^$L$4+$Y$5/(1+$AA42)^$L$5+$Y$6/(1+$AA42)^$L$6+$Y$7/(1+$AA42)^$L$7+$Y$8/(1+$AA42)^$L$8)+($S$15*$AG$37)/(1+$AA42)^$L$8</f>
        <v>124.33446916196098</v>
      </c>
      <c r="H42" s="225"/>
      <c r="J42" s="146">
        <f>J43-$I$2</f>
        <v>3.5235167163916739E-2</v>
      </c>
      <c r="K42" s="147">
        <f>($Y$4/(1+$J42)^$L$4+$Y$5/(1+$J42)^$L$5+$Y$6/(1+$J42)^$L$6+$Y$7/(1+$J42)^$L$7+$Y$8/(1+$J42)^$L$8)+($V$11*(1-K$40/($AA$11+$I$3))/($J42-K$40)/(1+$J42)^$L$8)</f>
        <v>-174.77087805383934</v>
      </c>
      <c r="L42" s="147">
        <f>($Y$4/(1+$J42)^$L$4+$Y$5/(1+$J42)^$L$5+$Y$6/(1+$J42)^$L$6+$Y$7/(1+$J42)^$L$7+$Y$8/(1+$J42)^$L$8)+($V$12*(1-L$40/($AA$12+$I$3))/($J42-L$40)/(1+$J42)^$L$8)</f>
        <v>-720.5684710892524</v>
      </c>
      <c r="M42" s="147">
        <f>($Y$4/(1+$J42)^$L$4+$Y$5/(1+$J42)^$L$5+$Y$6/(1+$J42)^$L$6+$Y$7/(1+$J42)^$L$7+$Y$8/(1+$J42)^$L$8)+($V$13*(1-M$40/($AA$13+$I$3))/($J42-M$40)/(1+$J42)^$L$8)</f>
        <v>814.90418055177543</v>
      </c>
      <c r="N42" s="147">
        <f>($Y$4/(1+$J42)^$L$4+$Y$5/(1+$J42)^$L$5+$Y$6/(1+$J42)^$L$6+$Y$7/(1+$J42)^$L$7+$Y$8/(1+$J42)^$L$8)+($V$14*(1-N$40/($AA$14+$I$3))/($J42-N$40)/(1+$J42)^$L$8)</f>
        <v>333.35877661528906</v>
      </c>
      <c r="O42" s="147">
        <f>($Y$4/(1+$J42)^$L$4+$Y$5/(1+$J42)^$L$5+$Y$6/(1+$J42)^$L$6+$Y$7/(1+$J42)^$L$7+$Y$8/(1+$J42)^$L$8)+($V$15*(1-O$40/($AA$15+$I$3))/($J42-O$40)/(1+$J42)^$L$8)</f>
        <v>232.66101278997266</v>
      </c>
      <c r="P42" s="230"/>
      <c r="Q42" s="164"/>
      <c r="R42" s="234"/>
      <c r="S42" s="149">
        <f>S43-$I$2</f>
        <v>3.5235167163916739E-2</v>
      </c>
      <c r="T42" s="150">
        <f>($Y$4/(1+$S42)^$L$4+$Y$5/(1+$S42)^$L$5+$Y$6/(1+$S42)^$L$6+$Y$7/(1+$S42)^$L$7+$Y$8/(1+$S42)^$L$8)+($Y$11/($S42-T$40)/(1+$S42)^$L$8)+($Z$4/(1+$Y$43)^$L$4+$Z$5/(1+$Y$43)^$L$5+$Z$6/(1+$Y$43)^$L$6+$Z$7/(1+$Y$43)^$L$7+$Z$8/(1+$Y$43)^$L$8)+($Z$11/($Y$43-T$40)/(1+$Y$43)^$L$8)</f>
        <v>20.888790923543503</v>
      </c>
      <c r="U42" s="150">
        <f>($Y$4/(1+$S42)^$L$4+$Y$5/(1+$S42)^$L$5+$Y$6/(1+$S42)^$L$6+$Y$7/(1+$S42)^$L$7+$Y$8/(1+$S42)^$L$8)+($Y12/($S42-U$40)/(1+$S42)^$L$8)+($Z$4/(1+$Y$43)^$L$4+$Z$5/(1+$Y$43)^$L$5+$Z$6/(1+$Y$43)^$L$6+$Z$7/(1+$Y$43)^$L$7+$Z$8/(1+$Y$43)^$L$8)+($Z12/($Y$43-U$40)/(1+$Y$43)^$L$8)</f>
        <v>-368.2134507532632</v>
      </c>
      <c r="V42" s="150">
        <f>($Y$4/(1+$S42)^$L$4+$Y$5/(1+$S42)^$L$5+$Y$6/(1+$S42)^$L$6+$Y$7/(1+$S42)^$L$7+$Y$8/(1+$S42)^$L$8)+($Y13/($S42-V$40)/(1+$S42)^$L$8)+($Z$4/(1+$Y$43)^$L$4+$Z$5/(1+$Y$43)^$L$5+$Z$6/(1+$Y$43)^$L$6+$Z$7/(1+$Y$43)^$L$7+$Z$8/(1+$Y$43)^$L$8)+($Z13/($Y$43-V$40)/(1+$Y$43)^$L$8)</f>
        <v>659.11071571305399</v>
      </c>
      <c r="W42" s="150">
        <f>($Y$4/(1+$S42)^$L$4+$Y$5/(1+$S42)^$L$5+$Y$6/(1+$S42)^$L$6+$Y$7/(1+$S42)^$L$7+$Y$8/(1+$S42)^$L$8)+($Y14/($S42-W$40)/(1+$S42)^$L$8)+($Z$4/(1+$Y$43)^$L$4+$Z$5/(1+$Y$43)^$L$5+$Z$6/(1+$Y$43)^$L$6+$Z$7/(1+$Y$43)^$L$7+$Z$8/(1+$Y$43)^$L$8)+($Z14/($Y$43-W$40)/(1+$Y$43)^$L$8)</f>
        <v>326.81280353339639</v>
      </c>
      <c r="X42" s="150">
        <f>($Y$4/(1+$S42)^$L$4+$Y$5/(1+$S42)^$L$5+$Y$6/(1+$S42)^$L$6+$Y$7/(1+$S42)^$L$7+$Y$8/(1+$S42)^$L$8)+($Y15/($S42-X$40)/(1+$S42)^$L$8)+($Z$4/(1+$Y$43)^$L$4+$Z$5/(1+$Y$43)^$L$5+$Z$6/(1+$Y$43)^$L$6+$Z$7/(1+$Y$43)^$L$7+$Z$8/(1+$Y$43)^$L$8)+($Z15/($Y$43-X$40)/(1+$Y$43)^$L$8)</f>
        <v>254.28890366280646</v>
      </c>
      <c r="Y42" s="231"/>
      <c r="Z42" s="184"/>
      <c r="AA42" s="154">
        <f>AA43-$I$2</f>
        <v>3.5235167163916739E-2</v>
      </c>
      <c r="AB42" s="152">
        <f>($Y$4/(1+$AA42)^$L$4+$Y$5/(1+$AA42)^$L$5+$Y$6/(1+$AA42)^$L$6+$Y$7/(1+$AA42)^$L$7+$Y$8/(1+$AA42)^$L$8)+($S$11*$AG$23)/(1+$AA42)^$L$8</f>
        <v>83.788483750454972</v>
      </c>
      <c r="AC42" s="152">
        <f>($Y$4/(1+$AA42)^$L$4+$Y$5/(1+$AA42)^$L$5+$Y$6/(1+$AA42)^$L$6+$Y$7/(1+$AA42)^$L$7+$Y$8/(1+$AA42)^$L$8)+($S$12*$AG$23)/(1+$AA42)^$L$8</f>
        <v>82.825784011235243</v>
      </c>
      <c r="AD42" s="152">
        <f>($Y$4/(1+$AA42)^$L$4+$Y$5/(1+$AA42)^$L$5+$Y$6/(1+$AA42)^$L$6+$Y$7/(1+$AA42)^$L$7+$Y$8/(1+$AA42)^$L$8)+($S$13*$AG$23)/(1+$AA42)^$L$8</f>
        <v>81.863084272015158</v>
      </c>
      <c r="AE42" s="152">
        <f>($Y$4/(1+$AA42)^$L$4+$Y$5/(1+$AA42)^$L$5+$Y$6/(1+$AA42)^$L$6+$Y$7/(1+$AA42)^$L$7+$Y$8/(1+$AA42)^$L$8)+($S$14*$AG$23)/(1+$AA42)^$L$8</f>
        <v>80.900384532795073</v>
      </c>
      <c r="AF42" s="152">
        <f>($Y$4/(1+$AA42)^$L$4+$Y$5/(1+$AA42)^$L$5+$Y$6/(1+$AA42)^$L$6+$Y$7/(1+$AA42)^$L$7+$Y$8/(1+$AA42)^$L$8)+($S$15*$AG$23)/(1+$AA42)^$L$8</f>
        <v>79.937684793575357</v>
      </c>
      <c r="AG42" s="232"/>
    </row>
    <row r="43" spans="1:33" ht="15" customHeight="1" x14ac:dyDescent="0.25">
      <c r="A43" s="238"/>
      <c r="B43" s="154">
        <f>$I$10</f>
        <v>5.5235167163916743E-2</v>
      </c>
      <c r="C43" s="152">
        <f>($Y$4/(1+$AA43)^$L$4+$Y$5/(1+$AA43)^$L$5+$Y$6/(1+$AA43)^$L$6+$Y$7/(1+$AA43)^$L$7+$Y$8/(1+$AA43)^$L$8)+($S$11*$AG$37)/(1+$AA43)^$L$8</f>
        <v>117.49815517340767</v>
      </c>
      <c r="D43" s="152">
        <f>($Y$4/(1+$AA43)^$L$4+$Y$5/(1+$AA43)^$L$5+$Y$6/(1+$AA43)^$L$6+$Y$7/(1+$AA43)^$L$7+$Y$8/(1+$AA43)^$L$8)+($S$12*$AG$37)/(1+$AA43)^$L$8</f>
        <v>116.2238277724623</v>
      </c>
      <c r="E43" s="152">
        <f>($Y$4/(1+$AA43)^$L$4+$Y$5/(1+$AA43)^$L$5+$Y$6/(1+$AA43)^$L$6+$Y$7/(1+$AA43)^$L$7+$Y$8/(1+$AA43)^$L$8)+($S$13*$AG$37)/(1+$AA43)^$L$8</f>
        <v>114.94950037151648</v>
      </c>
      <c r="F43" s="152">
        <f>($Y$4/(1+$AA43)^$L$4+$Y$5/(1+$AA43)^$L$5+$Y$6/(1+$AA43)^$L$6+$Y$7/(1+$AA43)^$L$7+$Y$8/(1+$AA43)^$L$8)+($S$14*$AG$37)/(1+$AA43)^$L$8</f>
        <v>113.67517297057063</v>
      </c>
      <c r="G43" s="152">
        <f>($Y$4/(1+$AA43)^$L$4+$Y$5/(1+$AA43)^$L$5+$Y$6/(1+$AA43)^$L$6+$Y$7/(1+$AA43)^$L$7+$Y$8/(1+$AA43)^$L$8)+($S$15*$AG$37)/(1+$AA43)^$L$8</f>
        <v>112.40084556962529</v>
      </c>
      <c r="H43" s="225"/>
      <c r="J43" s="146">
        <f>$I$10</f>
        <v>5.5235167163916743E-2</v>
      </c>
      <c r="K43" s="147">
        <f>($Y$4/(1+$J43)^$L$4+$Y$5/(1+$J43)^$L$5+$Y$6/(1+$J43)^$L$6+$Y$7/(1+$J43)^$L$7+$Y$8/(1+$J43)^$L$8)+($V$11*(1-K$40/($AA$11+$I$3))/($J43-K$40)/(1+$J43)^$L$8)</f>
        <v>387.3027874449399</v>
      </c>
      <c r="L43" s="147">
        <f>($Y$4/(1+$J43)^$L$4+$Y$5/(1+$J43)^$L$5+$Y$6/(1+$J43)^$L$6+$Y$7/(1+$J43)^$L$7+$Y$8/(1+$J43)^$L$8)+($V$12*(1-L$40/($AA$12+$I$3))/($J43-L$40)/(1+$J43)^$L$8)</f>
        <v>183.57568743793021</v>
      </c>
      <c r="M43" s="147">
        <f>($Y$4/(1+$J43)^$L$4+$Y$5/(1+$J43)^$L$5+$Y$6/(1+$J43)^$L$6+$Y$7/(1+$J43)^$L$7+$Y$8/(1+$J43)^$L$8)+($V$13*(1-M$40/($AA$13+$I$3))/($J43-M$40)/(1+$J43)^$L$8)</f>
        <v>140.5856511036869</v>
      </c>
      <c r="N43" s="147">
        <f>($Y$4/(1+$J43)^$L$4+$Y$5/(1+$J43)^$L$5+$Y$6/(1+$J43)^$L$6+$Y$7/(1+$J43)^$L$7+$Y$8/(1+$J43)^$L$8)+($V$14*(1-N$40/($AA$14+$I$3))/($J43-N$40)/(1+$J43)^$L$8)</f>
        <v>121.47759023586977</v>
      </c>
      <c r="O43" s="147">
        <f>($Y$4/(1+$J43)^$L$4+$Y$5/(1+$J43)^$L$5+$Y$6/(1+$J43)^$L$6+$Y$7/(1+$J43)^$L$7+$Y$8/(1+$J43)^$L$8)+($V$15*(1-O$40/($AA$15+$I$3))/($J43-O$40)/(1+$J43)^$L$8)</f>
        <v>110.41295909866747</v>
      </c>
      <c r="P43" s="235">
        <f>$AA$11+$I$3</f>
        <v>7.1974417916562297E-2</v>
      </c>
      <c r="Q43" s="165"/>
      <c r="R43" s="234"/>
      <c r="S43" s="149">
        <f>$I$10</f>
        <v>5.5235167163916743E-2</v>
      </c>
      <c r="T43" s="150">
        <f>($Y$4/(1+$S43)^$L$4+$Y$5/(1+$S43)^$L$5+$Y$6/(1+$S43)^$L$6+$Y$7/(1+$S43)^$L$7+$Y$8/(1+$S43)^$L$8)+($Y$11/($S43-T$40)/(1+$S43)^$L$8)+($Z$4/(1+$Y$43)^$L$4+$Z$5/(1+$Y$43)^$L$5+$Z$6/(1+$Y$43)^$L$6+$Z$7/(1+$Y$43)^$L$7+$Z$8/(1+$Y$43)^$L$8)+($Z$11/($Y$43-T$40)/(1+$Y$43)^$L$8)</f>
        <v>175.87900867621471</v>
      </c>
      <c r="U43" s="150">
        <f>($Y$4/(1+$S43)^$L$4+$Y$5/(1+$S43)^$L$5+$Y$6/(1+$S43)^$L$6+$Y$7/(1+$S43)^$L$7+$Y$8/(1+$S43)^$L$8)+($Y12/($S43-U$40)/(1+$S43)^$L$8)+($Z$4/(1+$Y$43)^$L$4+$Z$5/(1+$Y$43)^$L$5+$Z$6/(1+$Y$43)^$L$6+$Z$7/(1+$Y$43)^$L$7+$Z$8/(1+$Y$43)^$L$8)+($Z12/($Y$43-U$40)/(1+$Y$43)^$L$8)</f>
        <v>161.33771096986982</v>
      </c>
      <c r="V43" s="150">
        <f>($Y$4/(1+$S43)^$L$4+$Y$5/(1+$S43)^$L$5+$Y$6/(1+$S43)^$L$6+$Y$7/(1+$S43)^$L$7+$Y$8/(1+$S43)^$L$8)+($Y13/($S43-V$40)/(1+$S43)^$L$8)+($Z$4/(1+$Y$43)^$L$4+$Z$5/(1+$Y$43)^$L$5+$Z$6/(1+$Y$43)^$L$6+$Z$7/(1+$Y$43)^$L$7+$Z$8/(1+$Y$43)^$L$8)+($Z13/($Y$43-V$40)/(1+$Y$43)^$L$8)</f>
        <v>151.05309393731579</v>
      </c>
      <c r="W43" s="150">
        <f>($Y$4/(1+$S43)^$L$4+$Y$5/(1+$S43)^$L$5+$Y$6/(1+$S43)^$L$6+$Y$7/(1+$S43)^$L$7+$Y$8/(1+$S43)^$L$8)+($Y14/($S43-W$40)/(1+$S43)^$L$8)+($Z$4/(1+$Y$43)^$L$4+$Z$5/(1+$Y$43)^$L$5+$Z$6/(1+$Y$43)^$L$6+$Z$7/(1+$Y$43)^$L$7+$Z$8/(1+$Y$43)^$L$8)+($Z14/($Y$43-W$40)/(1+$Y$43)^$L$8)</f>
        <v>144.22806546824097</v>
      </c>
      <c r="X43" s="150">
        <f>($Y$4/(1+$S43)^$L$4+$Y$5/(1+$S43)^$L$5+$Y$6/(1+$S43)^$L$6+$Y$7/(1+$S43)^$L$7+$Y$8/(1+$S43)^$L$8)+($Y15/($S43-X$40)/(1+$S43)^$L$8)+($Z$4/(1+$Y$43)^$L$4+$Z$5/(1+$Y$43)^$L$5+$Z$6/(1+$Y$43)^$L$6+$Z$7/(1+$Y$43)^$L$7+$Z$8/(1+$Y$43)^$L$8)+($Z15/($Y$43-X$40)/(1+$Y$43)^$L$8)</f>
        <v>139.42009067743908</v>
      </c>
      <c r="Y43" s="236">
        <f>'Mkt Val without BOP'!$J$7+$I$2</f>
        <v>7.5235167163916747E-2</v>
      </c>
      <c r="Z43" s="184"/>
      <c r="AA43" s="154">
        <f>$I$10</f>
        <v>5.5235167163916743E-2</v>
      </c>
      <c r="AB43" s="152">
        <f>($Y$4/(1+$AA43)^$L$4+$Y$5/(1+$AA43)^$L$5+$Y$6/(1+$AA43)^$L$6+$Y$7/(1+$AA43)^$L$7+$Y$8/(1+$AA43)^$L$8)+($S$11*$AG$23)/(1+$AA43)^$L$8</f>
        <v>75.554309872651174</v>
      </c>
      <c r="AC43" s="152">
        <f>($Y$4/(1+$AA43)^$L$4+$Y$5/(1+$AA43)^$L$5+$Y$6/(1+$AA43)^$L$6+$Y$7/(1+$AA43)^$L$7+$Y$8/(1+$AA43)^$L$8)+($S$12*$AG$23)/(1+$AA43)^$L$8</f>
        <v>74.679447665046254</v>
      </c>
      <c r="AD43" s="152">
        <f>($Y$4/(1+$AA43)^$L$4+$Y$5/(1+$AA43)^$L$5+$Y$6/(1+$AA43)^$L$6+$Y$7/(1+$AA43)^$L$7+$Y$8/(1+$AA43)^$L$8)+($S$13*$AG$23)/(1+$AA43)^$L$8</f>
        <v>73.804585457441007</v>
      </c>
      <c r="AE43" s="152">
        <f>($Y$4/(1+$AA43)^$L$4+$Y$5/(1+$AA43)^$L$5+$Y$6/(1+$AA43)^$L$6+$Y$7/(1+$AA43)^$L$7+$Y$8/(1+$AA43)^$L$8)+($S$14*$AG$23)/(1+$AA43)^$L$8</f>
        <v>72.929723249835746</v>
      </c>
      <c r="AF43" s="152">
        <f>($Y$4/(1+$AA43)^$L$4+$Y$5/(1+$AA43)^$L$5+$Y$6/(1+$AA43)^$L$6+$Y$7/(1+$AA43)^$L$7+$Y$8/(1+$AA43)^$L$8)+($S$15*$AG$23)/(1+$AA43)^$L$8</f>
        <v>72.05486104223084</v>
      </c>
      <c r="AG43" s="232"/>
    </row>
    <row r="44" spans="1:33" ht="15" customHeight="1" x14ac:dyDescent="0.25">
      <c r="A44" s="238"/>
      <c r="B44" s="154">
        <f>B43+$I$2</f>
        <v>7.5235167163916747E-2</v>
      </c>
      <c r="C44" s="152">
        <f>($Y$4/(1+$AA44)^$L$4+$Y$5/(1+$AA44)^$L$5+$Y$6/(1+$AA44)^$L$6+$Y$7/(1+$AA44)^$L$7+$Y$8/(1+$AA44)^$L$8)+($S$11*$AG$37)/(1+$AA44)^$L$8</f>
        <v>106.41265478347975</v>
      </c>
      <c r="D44" s="152">
        <f>($Y$4/(1+$AA44)^$L$4+$Y$5/(1+$AA44)^$L$5+$Y$6/(1+$AA44)^$L$6+$Y$7/(1+$AA44)^$L$7+$Y$8/(1+$AA44)^$L$8)+($S$12*$AG$37)/(1+$AA44)^$L$8</f>
        <v>105.25251584967086</v>
      </c>
      <c r="E44" s="152">
        <f>($Y$4/(1+$AA44)^$L$4+$Y$5/(1+$AA44)^$L$5+$Y$6/(1+$AA44)^$L$6+$Y$7/(1+$AA44)^$L$7+$Y$8/(1+$AA44)^$L$8)+($S$13*$AG$37)/(1+$AA44)^$L$8</f>
        <v>104.09237691586154</v>
      </c>
      <c r="F44" s="152">
        <f>($Y$4/(1+$AA44)^$L$4+$Y$5/(1+$AA44)^$L$5+$Y$6/(1+$AA44)^$L$6+$Y$7/(1+$AA44)^$L$7+$Y$8/(1+$AA44)^$L$8)+($S$14*$AG$37)/(1+$AA44)^$L$8</f>
        <v>102.93223798205219</v>
      </c>
      <c r="G44" s="152">
        <f>($Y$4/(1+$AA44)^$L$4+$Y$5/(1+$AA44)^$L$5+$Y$6/(1+$AA44)^$L$6+$Y$7/(1+$AA44)^$L$7+$Y$8/(1+$AA44)^$L$8)+($S$15*$AG$37)/(1+$AA44)^$L$8</f>
        <v>101.77209904824329</v>
      </c>
      <c r="H44" s="240">
        <f>'Fin Stmt'!P44</f>
        <v>12.76033478951298</v>
      </c>
      <c r="J44" s="146">
        <f>J43+$I$2</f>
        <v>7.5235167163916747E-2</v>
      </c>
      <c r="K44" s="147">
        <f>($Y$4/(1+$J44)^$L$4+$Y$5/(1+$J44)^$L$5+$Y$6/(1+$J44)^$L$6+$Y$7/(1+$J44)^$L$7+$Y$8/(1+$J44)^$L$8)+($V$11*(1-K$40/($AA$11+$I$3))/($J44-K$40)/(1+$J44)^$L$8)</f>
        <v>60.826009634664295</v>
      </c>
      <c r="L44" s="147">
        <f>($Y$4/(1+$J44)^$L$4+$Y$5/(1+$J44)^$L$5+$Y$6/(1+$J44)^$L$6+$Y$7/(1+$J44)^$L$7+$Y$8/(1+$J44)^$L$8)+($V$12*(1-L$40/($AA$12+$I$3))/($J44-L$40)/(1+$J44)^$L$8)</f>
        <v>63.279698329444834</v>
      </c>
      <c r="M44" s="147">
        <f>($Y$4/(1+$J44)^$L$4+$Y$5/(1+$J44)^$L$5+$Y$6/(1+$J44)^$L$6+$Y$7/(1+$J44)^$L$7+$Y$8/(1+$J44)^$L$8)+($V$13*(1-M$40/($AA$13+$I$3))/($J44-M$40)/(1+$J44)^$L$8)</f>
        <v>64.279917788539223</v>
      </c>
      <c r="N44" s="147">
        <f>($Y$4/(1+$J44)^$L$4+$Y$5/(1+$J44)^$L$5+$Y$6/(1+$J44)^$L$6+$Y$7/(1+$J44)^$L$7+$Y$8/(1+$J44)^$L$8)+($V$14*(1-N$40/($AA$14+$I$3))/($J44-N$40)/(1+$J44)^$L$8)</f>
        <v>64.616094011894319</v>
      </c>
      <c r="O44" s="147">
        <f>($Y$4/(1+$J44)^$L$4+$Y$5/(1+$J44)^$L$5+$Y$6/(1+$J44)^$L$6+$Y$7/(1+$J44)^$L$7+$Y$8/(1+$J44)^$L$8)+($V$15*(1-O$40/($AA$15+$I$3))/($J44-O$40)/(1+$J44)^$L$8)</f>
        <v>64.593603653518528</v>
      </c>
      <c r="P44" s="235"/>
      <c r="Q44" s="165"/>
      <c r="R44" s="234"/>
      <c r="S44" s="149">
        <f>S43+$I$2</f>
        <v>7.5235167163916747E-2</v>
      </c>
      <c r="T44" s="150">
        <f>($Y$4/(1+$S44)^$L$4+$Y$5/(1+$S44)^$L$5+$Y$6/(1+$S44)^$L$6+$Y$7/(1+$S44)^$L$7+$Y$8/(1+$S44)^$L$8)+($Y$11/($S44-T$40)/(1+$S44)^$L$8)+($Z$4/(1+$Y$43)^$L$4+$Z$5/(1+$Y$43)^$L$5+$Z$6/(1+$Y$43)^$L$6+$Z$7/(1+$Y$43)^$L$7+$Z$8/(1+$Y$43)^$L$8)+($Z$11/($Y$43-T$40)/(1+$Y$43)^$L$8)</f>
        <v>86.926736708131628</v>
      </c>
      <c r="U44" s="150">
        <f>($Y$4/(1+$S44)^$L$4+$Y$5/(1+$S44)^$L$5+$Y$6/(1+$S44)^$L$6+$Y$7/(1+$S44)^$L$7+$Y$8/(1+$S44)^$L$8)+($Y12/($S44-U$40)/(1+$S44)^$L$8)+($Z$4/(1+$Y$43)^$L$4+$Z$5/(1+$Y$43)^$L$5+$Z$6/(1+$Y$43)^$L$6+$Z$7/(1+$Y$43)^$L$7+$Z$8/(1+$Y$43)^$L$8)+($Z12/($Y$43-U$40)/(1+$Y$43)^$L$8)</f>
        <v>91.310784843844658</v>
      </c>
      <c r="V44" s="150">
        <f>($Y$4/(1+$S44)^$L$4+$Y$5/(1+$S44)^$L$5+$Y$6/(1+$S44)^$L$6+$Y$7/(1+$S44)^$L$7+$Y$8/(1+$S44)^$L$8)+($Y13/($S44-V$40)/(1+$S44)^$L$8)+($Z$4/(1+$Y$43)^$L$4+$Z$5/(1+$Y$43)^$L$5+$Z$6/(1+$Y$43)^$L$6+$Z$7/(1+$Y$43)^$L$7+$Z$8/(1+$Y$43)^$L$8)+($Z13/($Y$43-V$40)/(1+$Y$43)^$L$8)</f>
        <v>93.756496764361302</v>
      </c>
      <c r="W44" s="150">
        <f>($Y$4/(1+$S44)^$L$4+$Y$5/(1+$S44)^$L$5+$Y$6/(1+$S44)^$L$6+$Y$7/(1+$S44)^$L$7+$Y$8/(1+$S44)^$L$8)+($Y14/($S44-W$40)/(1+$S44)^$L$8)+($Z$4/(1+$Y$43)^$L$4+$Z$5/(1+$Y$43)^$L$5+$Z$6/(1+$Y$43)^$L$6+$Z$7/(1+$Y$43)^$L$7+$Z$8/(1+$Y$43)^$L$8)+($Z14/($Y$43-W$40)/(1+$Y$43)^$L$8)</f>
        <v>95.316645357710428</v>
      </c>
      <c r="X44" s="150">
        <f>($Y$4/(1+$S44)^$L$4+$Y$5/(1+$S44)^$L$5+$Y$6/(1+$S44)^$L$6+$Y$7/(1+$S44)^$L$7+$Y$8/(1+$S44)^$L$8)+($Y15/($S44-X$40)/(1+$S44)^$L$8)+($Z$4/(1+$Y$43)^$L$4+$Z$5/(1+$Y$43)^$L$5+$Z$6/(1+$Y$43)^$L$6+$Z$7/(1+$Y$43)^$L$7+$Z$8/(1+$Y$43)^$L$8)+($Z15/($Y$43-X$40)/(1+$Y$43)^$L$8)</f>
        <v>96.398478753543969</v>
      </c>
      <c r="Y44" s="236"/>
      <c r="Z44" s="184"/>
      <c r="AA44" s="154">
        <f>AA43+$I$2</f>
        <v>7.5235167163916747E-2</v>
      </c>
      <c r="AB44" s="152">
        <f>($Y$4/(1+$AA44)^$L$4+$Y$5/(1+$AA44)^$L$5+$Y$6/(1+$AA44)^$L$6+$Y$7/(1+$AA44)^$L$7+$Y$8/(1+$AA44)^$L$8)+($S$11*$AG$23)/(1+$AA44)^$L$8</f>
        <v>68.227265431444806</v>
      </c>
      <c r="AC44" s="152">
        <f>($Y$4/(1+$AA44)^$L$4+$Y$5/(1+$AA44)^$L$5+$Y$6/(1+$AA44)^$L$6+$Y$7/(1+$AA44)^$L$7+$Y$8/(1+$AA44)^$L$8)+($S$12*$AG$23)/(1+$AA44)^$L$8</f>
        <v>67.430796872417091</v>
      </c>
      <c r="AD44" s="152">
        <f>($Y$4/(1+$AA44)^$L$4+$Y$5/(1+$AA44)^$L$5+$Y$6/(1+$AA44)^$L$6+$Y$7/(1+$AA44)^$L$7+$Y$8/(1+$AA44)^$L$8)+($S$13*$AG$23)/(1+$AA44)^$L$8</f>
        <v>66.634328313389062</v>
      </c>
      <c r="AE44" s="152">
        <f>($Y$4/(1+$AA44)^$L$4+$Y$5/(1+$AA44)^$L$5+$Y$6/(1+$AA44)^$L$6+$Y$7/(1+$AA44)^$L$7+$Y$8/(1+$AA44)^$L$8)+($S$14*$AG$23)/(1+$AA44)^$L$8</f>
        <v>65.837859754361062</v>
      </c>
      <c r="AF44" s="152">
        <f>($Y$4/(1+$AA44)^$L$4+$Y$5/(1+$AA44)^$L$5+$Y$6/(1+$AA44)^$L$6+$Y$7/(1+$AA44)^$L$7+$Y$8/(1+$AA44)^$L$8)+($S$15*$AG$23)/(1+$AA44)^$L$8</f>
        <v>65.041391195333347</v>
      </c>
      <c r="AG44" s="240">
        <f>'Fin Stmt'!P44+I7</f>
        <v>14.76033478951298</v>
      </c>
    </row>
    <row r="45" spans="1:33" ht="15" customHeight="1" x14ac:dyDescent="0.25">
      <c r="A45" s="238"/>
      <c r="B45" s="154">
        <f>B44+$I$2</f>
        <v>9.5235167163916751E-2</v>
      </c>
      <c r="C45" s="152">
        <f>($Y$4/(1+$AA45)^$L$4+$Y$5/(1+$AA45)^$L$5+$Y$6/(1+$AA45)^$L$6+$Y$7/(1+$AA45)^$L$7+$Y$8/(1+$AA45)^$L$8)+($S$11*$AG$37)/(1+$AA45)^$L$8</f>
        <v>96.518125178078677</v>
      </c>
      <c r="D45" s="152">
        <f>($Y$4/(1+$AA45)^$L$4+$Y$5/(1+$AA45)^$L$5+$Y$6/(1+$AA45)^$L$6+$Y$7/(1+$AA45)^$L$7+$Y$8/(1+$AA45)^$L$8)+($S$12*$AG$37)/(1+$AA45)^$L$8</f>
        <v>95.460113645437545</v>
      </c>
      <c r="E45" s="152">
        <f>($Y$4/(1+$AA45)^$L$4+$Y$5/(1+$AA45)^$L$5+$Y$6/(1+$AA45)^$L$6+$Y$7/(1+$AA45)^$L$7+$Y$8/(1+$AA45)^$L$8)+($S$13*$AG$37)/(1+$AA45)^$L$8</f>
        <v>94.402102112796044</v>
      </c>
      <c r="F45" s="152">
        <f>($Y$4/(1+$AA45)^$L$4+$Y$5/(1+$AA45)^$L$5+$Y$6/(1+$AA45)^$L$6+$Y$7/(1+$AA45)^$L$7+$Y$8/(1+$AA45)^$L$8)+($S$14*$AG$37)/(1+$AA45)^$L$8</f>
        <v>93.344090580154514</v>
      </c>
      <c r="G45" s="152">
        <f>($Y$4/(1+$AA45)^$L$4+$Y$5/(1+$AA45)^$L$5+$Y$6/(1+$AA45)^$L$6+$Y$7/(1+$AA45)^$L$7+$Y$8/(1+$AA45)^$L$8)+($S$15*$AG$37)/(1+$AA45)^$L$8</f>
        <v>92.286079047513397</v>
      </c>
      <c r="H45" s="240"/>
      <c r="J45" s="146">
        <f>J44+$I$2</f>
        <v>9.5235167163916751E-2</v>
      </c>
      <c r="K45" s="147">
        <f>($Y$4/(1+$J45)^$L$4+$Y$5/(1+$J45)^$L$5+$Y$6/(1+$J45)^$L$6+$Y$7/(1+$J45)^$L$7+$Y$8/(1+$J45)^$L$8)+($V$11*(1-K$40/($AA$11+$I$3))/($J45-K$40)/(1+$J45)^$L$8)</f>
        <v>24.208412771953938</v>
      </c>
      <c r="L45" s="147">
        <f>($Y$4/(1+$J45)^$L$4+$Y$5/(1+$J45)^$L$5+$Y$6/(1+$J45)^$L$6+$Y$7/(1+$J45)^$L$7+$Y$8/(1+$J45)^$L$8)+($V$12*(1-L$40/($AA$12+$I$3))/($J45-L$40)/(1+$J45)^$L$8)</f>
        <v>31.200445788112276</v>
      </c>
      <c r="M45" s="147">
        <f>($Y$4/(1+$J45)^$L$4+$Y$5/(1+$J45)^$L$5+$Y$6/(1+$J45)^$L$6+$Y$7/(1+$J45)^$L$7+$Y$8/(1+$J45)^$L$8)+($V$13*(1-M$40/($AA$13+$I$3))/($J45-M$40)/(1+$J45)^$L$8)</f>
        <v>35.815739596533135</v>
      </c>
      <c r="N45" s="147">
        <f>($Y$4/(1+$J45)^$L$4+$Y$5/(1+$J45)^$L$5+$Y$6/(1+$J45)^$L$6+$Y$7/(1+$J45)^$L$7+$Y$8/(1+$J45)^$L$8)+($V$14*(1-N$40/($AA$14+$I$3))/($J45-N$40)/(1+$J45)^$L$8)</f>
        <v>39.00201823266385</v>
      </c>
      <c r="O45" s="147">
        <f>($Y$4/(1+$J45)^$L$4+$Y$5/(1+$J45)^$L$5+$Y$6/(1+$J45)^$L$6+$Y$7/(1+$J45)^$L$7+$Y$8/(1+$J45)^$L$8)+($V$15*(1-O$40/($AA$15+$I$3))/($J45-O$40)/(1+$J45)^$L$8)</f>
        <v>41.262248448317997</v>
      </c>
      <c r="P45" s="235"/>
      <c r="Q45" s="165"/>
      <c r="R45" s="234"/>
      <c r="S45" s="149">
        <f>S44+$I$2</f>
        <v>9.5235167163916751E-2</v>
      </c>
      <c r="T45" s="150">
        <f>($Y$4/(1+$S45)^$L$4+$Y$5/(1+$S45)^$L$5+$Y$6/(1+$S45)^$L$6+$Y$7/(1+$S45)^$L$7+$Y$8/(1+$S45)^$L$8)+($Y$11/($S45-T$40)/(1+$S45)^$L$8)+($Z$4/(1+$Y$43)^$L$4+$Z$5/(1+$Y$43)^$L$5+$Z$6/(1+$Y$43)^$L$6+$Z$7/(1+$Y$43)^$L$7+$Z$8/(1+$Y$43)^$L$8)+($Z$11/($Y$43-T$40)/(1+$Y$43)^$L$8)</f>
        <v>77.477626687996747</v>
      </c>
      <c r="U45" s="150">
        <f>($Y$4/(1+$S45)^$L$4+$Y$5/(1+$S45)^$L$5+$Y$6/(1+$S45)^$L$6+$Y$7/(1+$S45)^$L$7+$Y$8/(1+$S45)^$L$8)+($Y12/($S45-U$40)/(1+$S45)^$L$8)+($Z$4/(1+$Y$43)^$L$4+$Z$5/(1+$Y$43)^$L$5+$Z$6/(1+$Y$43)^$L$6+$Z$7/(1+$Y$43)^$L$7+$Z$8/(1+$Y$43)^$L$8)+($Z12/($Y$43-U$40)/(1+$Y$43)^$L$8)</f>
        <v>72.880505596488376</v>
      </c>
      <c r="V45" s="150">
        <f>($Y$4/(1+$S45)^$L$4+$Y$5/(1+$S45)^$L$5+$Y$6/(1+$S45)^$L$6+$Y$7/(1+$S45)^$L$7+$Y$8/(1+$S45)^$L$8)+($Y13/($S45-V$40)/(1+$S45)^$L$8)+($Z$4/(1+$Y$43)^$L$4+$Z$5/(1+$Y$43)^$L$5+$Z$6/(1+$Y$43)^$L$6+$Z$7/(1+$Y$43)^$L$7+$Z$8/(1+$Y$43)^$L$8)+($Z13/($Y$43-V$40)/(1+$Y$43)^$L$8)</f>
        <v>72.504272402739531</v>
      </c>
      <c r="W45" s="150">
        <f>($Y$4/(1+$S45)^$L$4+$Y$5/(1+$S45)^$L$5+$Y$6/(1+$S45)^$L$6+$Y$7/(1+$S45)^$L$7+$Y$8/(1+$S45)^$L$8)+($Y14/($S45-W$40)/(1+$S45)^$L$8)+($Z$4/(1+$Y$43)^$L$4+$Z$5/(1+$Y$43)^$L$5+$Z$6/(1+$Y$43)^$L$6+$Z$7/(1+$Y$43)^$L$7+$Z$8/(1+$Y$43)^$L$8)+($Z14/($Y$43-W$40)/(1+$Y$43)^$L$8)</f>
        <v>73.341804348563471</v>
      </c>
      <c r="X45" s="150">
        <f>($Y$4/(1+$S45)^$L$4+$Y$5/(1+$S45)^$L$5+$Y$6/(1+$S45)^$L$6+$Y$7/(1+$S45)^$L$7+$Y$8/(1+$S45)^$L$8)+($Y15/($S45-X$40)/(1+$S45)^$L$8)+($Z$4/(1+$Y$43)^$L$4+$Z$5/(1+$Y$43)^$L$5+$Z$6/(1+$Y$43)^$L$6+$Z$7/(1+$Y$43)^$L$7+$Z$8/(1+$Y$43)^$L$8)+($Z15/($Y$43-X$40)/(1+$Y$43)^$L$8)</f>
        <v>74.513801176646041</v>
      </c>
      <c r="Y45" s="236"/>
      <c r="Z45" s="184"/>
      <c r="AA45" s="154">
        <f>AA44+$I$2</f>
        <v>9.5235167163916751E-2</v>
      </c>
      <c r="AB45" s="152">
        <f>($Y$4/(1+$AA45)^$L$4+$Y$5/(1+$AA45)^$L$5+$Y$6/(1+$AA45)^$L$6+$Y$7/(1+$AA45)^$L$7+$Y$8/(1+$AA45)^$L$8)+($S$11*$AG$23)/(1+$AA45)^$L$8</f>
        <v>61.69420785620791</v>
      </c>
      <c r="AC45" s="152">
        <f>($Y$4/(1+$AA45)^$L$4+$Y$5/(1+$AA45)^$L$5+$Y$6/(1+$AA45)^$L$6+$Y$7/(1+$AA45)^$L$7+$Y$8/(1+$AA45)^$L$8)+($S$12*$AG$23)/(1+$AA45)^$L$8</f>
        <v>60.967852679013077</v>
      </c>
      <c r="AD45" s="152">
        <f>($Y$4/(1+$AA45)^$L$4+$Y$5/(1+$AA45)^$L$5+$Y$6/(1+$AA45)^$L$6+$Y$7/(1+$AA45)^$L$7+$Y$8/(1+$AA45)^$L$8)+($S$13*$AG$23)/(1+$AA45)^$L$8</f>
        <v>60.241497501817989</v>
      </c>
      <c r="AE45" s="152">
        <f>($Y$4/(1+$AA45)^$L$4+$Y$5/(1+$AA45)^$L$5+$Y$6/(1+$AA45)^$L$6+$Y$7/(1+$AA45)^$L$7+$Y$8/(1+$AA45)^$L$8)+($S$14*$AG$23)/(1+$AA45)^$L$8</f>
        <v>59.515142324622886</v>
      </c>
      <c r="AF45" s="152">
        <f>($Y$4/(1+$AA45)^$L$4+$Y$5/(1+$AA45)^$L$5+$Y$6/(1+$AA45)^$L$6+$Y$7/(1+$AA45)^$L$7+$Y$8/(1+$AA45)^$L$8)+($S$15*$AG$23)/(1+$AA45)^$L$8</f>
        <v>58.788787147428067</v>
      </c>
      <c r="AG45" s="240"/>
    </row>
    <row r="46" spans="1:33" ht="15" customHeight="1" x14ac:dyDescent="0.25">
      <c r="A46" s="159"/>
      <c r="B46" s="154"/>
      <c r="C46" s="152"/>
      <c r="D46" s="152"/>
      <c r="E46" s="152"/>
      <c r="F46" s="152"/>
      <c r="G46" s="152"/>
      <c r="H46" s="158"/>
      <c r="R46" s="24"/>
      <c r="S46" s="24"/>
      <c r="T46" s="24"/>
      <c r="U46" s="24"/>
      <c r="V46" s="24"/>
      <c r="W46" s="24"/>
      <c r="X46" s="24"/>
      <c r="Y46" s="24"/>
      <c r="Z46" s="171"/>
      <c r="AA46" s="154"/>
      <c r="AB46" s="152"/>
      <c r="AC46" s="152"/>
      <c r="AD46" s="152"/>
      <c r="AE46" s="152"/>
      <c r="AF46" s="152"/>
      <c r="AG46" s="161"/>
    </row>
    <row r="47" spans="1:33" ht="15" customHeight="1" x14ac:dyDescent="0.25">
      <c r="A47" s="217" t="s">
        <v>210</v>
      </c>
      <c r="B47" s="13"/>
      <c r="C47" s="169">
        <f>D47+$I$5</f>
        <v>0.05</v>
      </c>
      <c r="D47" s="169">
        <f>E47+$I$5</f>
        <v>0.04</v>
      </c>
      <c r="E47" s="169">
        <f>$I$11</f>
        <v>0.03</v>
      </c>
      <c r="F47" s="169">
        <f>E47-$I$5</f>
        <v>1.9999999999999997E-2</v>
      </c>
      <c r="G47" s="169">
        <f>F47-$I$5</f>
        <v>9.9999999999999967E-3</v>
      </c>
      <c r="H47" s="218" t="s">
        <v>232</v>
      </c>
      <c r="J47" s="145"/>
      <c r="K47" s="146">
        <f>L47+$I$5</f>
        <v>0.05</v>
      </c>
      <c r="L47" s="146">
        <f>M47+$I$5</f>
        <v>0.04</v>
      </c>
      <c r="M47" s="146">
        <f>$I$11</f>
        <v>0.03</v>
      </c>
      <c r="N47" s="146">
        <f>M47-$I$5</f>
        <v>1.9999999999999997E-2</v>
      </c>
      <c r="O47" s="146">
        <f>N47-$I$5</f>
        <v>9.9999999999999967E-3</v>
      </c>
      <c r="P47" s="230" t="s">
        <v>223</v>
      </c>
      <c r="Q47" s="164"/>
      <c r="R47" s="24"/>
      <c r="S47" s="148"/>
      <c r="T47" s="149">
        <f>U47+$I$5</f>
        <v>0.05</v>
      </c>
      <c r="U47" s="149">
        <f>V47+$I$5</f>
        <v>0.04</v>
      </c>
      <c r="V47" s="149">
        <f>$I$11</f>
        <v>0.03</v>
      </c>
      <c r="W47" s="149">
        <f>V47-$I$5</f>
        <v>1.9999999999999997E-2</v>
      </c>
      <c r="X47" s="149">
        <f>W47-$I$5</f>
        <v>9.9999999999999967E-3</v>
      </c>
      <c r="Y47" s="231" t="s">
        <v>227</v>
      </c>
      <c r="Z47" s="13"/>
      <c r="AA47" s="93"/>
      <c r="AB47" s="154">
        <f>AC47+$I$5</f>
        <v>0.05</v>
      </c>
      <c r="AC47" s="154">
        <f>AD47+$I$5</f>
        <v>0.04</v>
      </c>
      <c r="AD47" s="154">
        <f>$I$11</f>
        <v>0.03</v>
      </c>
      <c r="AE47" s="154">
        <f>AD47-$I$5</f>
        <v>1.9999999999999997E-2</v>
      </c>
      <c r="AF47" s="154">
        <f>AE47-$I$5</f>
        <v>9.9999999999999967E-3</v>
      </c>
      <c r="AG47" s="232" t="s">
        <v>225</v>
      </c>
    </row>
    <row r="48" spans="1:33" ht="15" customHeight="1" x14ac:dyDescent="0.25">
      <c r="A48" s="217"/>
      <c r="B48" s="169">
        <f>B49-$I$2</f>
        <v>1.5235167163916739E-2</v>
      </c>
      <c r="C48" s="170">
        <f>($AB$4/(1+$B48)^$L$4+$AB$5/(1+$B48)^$L$5+$AB$6/(1+$B48)^$L$6+$AB$7/(1+$B48)^$L$7+$AB$8/(1+$B48)^$L$8)+($U$8*($AA$11-$I$10)/($B48-C$47)/(1+$B48)^$L$8)+$U$3</f>
        <v>122.10074781447452</v>
      </c>
      <c r="D48" s="170">
        <f>($AB$4/(1+$B48)^$L$4+$AB$5/(1+$B48)^$L$5+$AB$6/(1+$B48)^$L$6+$AB$7/(1+$B48)^$L$7+$AB$8/(1+$B48)^$L$8)+($U$8*($AA$12-$I$10)/($B48-D$47)/(1+$B48)^$L$8)+$U$3</f>
        <v>127.92752117797353</v>
      </c>
      <c r="E48" s="170">
        <f>($AB$4/(1+$B48)^$L$4+$AB$5/(1+$B48)^$L$5+$AB$6/(1+$B48)^$L$6+$AB$7/(1+$B48)^$L$7+$AB$8/(1+$B48)^$L$8)+($U$8*($AA$13-$I$10)/($B48-E$47)/(1+$B48)^$L$8)+$U$3</f>
        <v>141.64706708849462</v>
      </c>
      <c r="F48" s="170">
        <f>($AB$4/(1+$B48)^$L$4+$AB$5/(1+$B48)^$L$5+$AB$6/(1+$B48)^$L$6+$AB$7/(1+$B48)^$L$7+$AB$8/(1+$B48)^$L$8)+($U$8*($AA$14-$I$10)/($B48-F$47)/(1+$B48)^$L$8)+$U$3</f>
        <v>212.95329602648852</v>
      </c>
      <c r="G48" s="170">
        <f>($AB$4/(1+$B48)^$L$4+$AB$5/(1+$B48)^$L$5+$AB$6/(1+$B48)^$L$6+$AB$7/(1+$B48)^$L$7+$AB$8/(1+$B48)^$L$8)+($U$8*($AA$15-$I$10)/($B48-G$47)/(1+$B48)^$L$8)+$U$3</f>
        <v>11.847100660368895</v>
      </c>
      <c r="H48" s="218"/>
      <c r="J48" s="146">
        <f>J49-$I$2</f>
        <v>1.5235167163916739E-2</v>
      </c>
      <c r="K48" s="147">
        <f>($Y$4/(1+$J48)^$L$4+$Y$5/(1+$J48)^$L$5+$Y$6/(1+$J48)^$L$6+$Y$7/(1+$J48)^$L$7+$Y$8/(1+$J48)^$L$8)+($V$11*(1-K$47/($AA$11+$I$3+$I$3))/($J48-K$47)/(1+$J48)^$L$8)</f>
        <v>-128.5941033609848</v>
      </c>
      <c r="L48" s="147">
        <f>($Y$4/(1+$J48)^$L$4+$Y$5/(1+$J48)^$L$5+$Y$6/(1+$J48)^$L$6+$Y$7/(1+$J48)^$L$7+$Y$8/(1+$J48)^$L$8)+($V$12*(1-L$47/($AA$12+$I$3+$I$3))/($J48-L$47)/(1+$J48)^$L$8)</f>
        <v>-208.13499747632966</v>
      </c>
      <c r="M48" s="147">
        <f>($Y$4/(1+$J48)^$L$4+$Y$5/(1+$J48)^$L$5+$Y$6/(1+$J48)^$L$6+$Y$7/(1+$J48)^$L$7+$Y$8/(1+$J48)^$L$8)+($V$13*(1-M$47/($AA$13+$I$3+$I$3))/($J48-M$47)/(1+$J48)^$L$8)</f>
        <v>-394.24196865912398</v>
      </c>
      <c r="N48" s="147">
        <f>($Y$4/(1+$J48)^$L$4+$Y$5/(1+$J48)^$L$5+$Y$6/(1+$J48)^$L$6+$Y$7/(1+$J48)^$L$7+$Y$8/(1+$J48)^$L$8)+($V$14*(1-N$47/($AA$14+$I$3+$I$3))/($J48-N$47)/(1+$J48)^$L$8)</f>
        <v>-1357.8687359597639</v>
      </c>
      <c r="O48" s="147">
        <f>($Y$4/(1+$J48)^$L$4+$Y$5/(1+$J48)^$L$5+$Y$6/(1+$J48)^$L$6+$Y$7/(1+$J48)^$L$7+$Y$8/(1+$J48)^$L$8)+($V$15*(1-O$47/($AA$15+$I$3+$I$3))/($J48-O$47)/(1+$J48)^$L$8)</f>
        <v>1356.5432631651709</v>
      </c>
      <c r="P48" s="230"/>
      <c r="Q48" s="164"/>
      <c r="R48" s="234" t="s">
        <v>233</v>
      </c>
      <c r="S48" s="149">
        <f>S49-$I$2</f>
        <v>1.5235167163916739E-2</v>
      </c>
      <c r="T48" s="150">
        <f>($Y$4/(1+$S48)^$L$4+$Y$5/(1+$S48)^$L$5+$Y$6/(1+$S48)^$L$6+$Y$7/(1+$S48)^$L$7+$Y$8/(1+$S48)^$L$8)+($Y$11/($S48-T$47)/(1+$S48)^$L$8)+($Z$4/(1+$Y$50)^$L$4+$Z$5/(1+$Y$50)^$L$5+$Z$6/(1+$Y$50)^$L$6+$Z$7/(1+$Y$50)^$L$7+$Z$8/(1+$Y$50)^$L$8)+($Z$11/($Y$50-T$47)/(1+$Y$50)^$L$8)</f>
        <v>6.4410484945189417</v>
      </c>
      <c r="U48" s="150">
        <f>($Y$4/(1+$S48)^$L$4+$Y$5/(1+$S48)^$L$5+$Y$6/(1+$S48)^$L$6+$Y$7/(1+$S48)^$L$7+$Y$8/(1+$S48)^$L$8)+($Y12/($S48-U$47)/(1+$S48)^$L$8)+($Z$4/(1+$Y$50)^$L$4+$Z$5/(1+$Y$50)^$L$5+$Z$6/(1+$Y$50)^$L$6+$Z$7/(1+$Y$50)^$L$7+$Z$8/(1+$Y$50)^$L$8)+($Z12/($Y$50-U$47)/(1+$Y$50)^$L$8)</f>
        <v>-67.356271849174419</v>
      </c>
      <c r="V48" s="150">
        <f>($Y$4/(1+$S48)^$L$4+$Y$5/(1+$S48)^$L$5+$Y$6/(1+$S48)^$L$6+$Y$7/(1+$S48)^$L$7+$Y$8/(1+$S48)^$L$8)+($Y13/($S48-V$47)/(1+$S48)^$L$8)+($Z$4/(1+$Y$50)^$L$4+$Z$5/(1+$Y$50)^$L$5+$Z$6/(1+$Y$50)^$L$6+$Z$7/(1+$Y$50)^$L$7+$Z$8/(1+$Y$50)^$L$8)+($Z13/($Y$50-V$47)/(1+$Y$50)^$L$8)</f>
        <v>-229.93534643796193</v>
      </c>
      <c r="W48" s="150">
        <f>($Y$4/(1+$S48)^$L$4+$Y$5/(1+$S48)^$L$5+$Y$6/(1+$S48)^$L$6+$Y$7/(1+$S48)^$L$7+$Y$8/(1+$S48)^$L$8)+($Y14/($S48-W$47)/(1+$S48)^$L$8)+($Z$4/(1+$Y$50)^$L$4+$Z$5/(1+$Y$50)^$L$5+$Z$6/(1+$Y$50)^$L$6+$Z$7/(1+$Y$50)^$L$7+$Z$8/(1+$Y$50)^$L$8)+($Z14/($Y$50-W$47)/(1+$Y$50)^$L$8)</f>
        <v>-1054.0939535547493</v>
      </c>
      <c r="X48" s="150">
        <f>($Y$4/(1+$S48)^$L$4+$Y$5/(1+$S48)^$L$5+$Y$6/(1+$S48)^$L$6+$Y$7/(1+$S48)^$L$7+$Y$8/(1+$S48)^$L$8)+($Y15/($S48-X$47)/(1+$S48)^$L$8)+($Z$4/(1+$Y$50)^$L$4+$Z$5/(1+$Y$50)^$L$5+$Z$6/(1+$Y$50)^$L$6+$Z$7/(1+$Y$50)^$L$7+$Z$8/(1+$Y$50)^$L$8)+($Z15/($Y$50-X$47)/(1+$Y$50)^$L$8)</f>
        <v>1258.0073285987603</v>
      </c>
      <c r="Y48" s="231"/>
      <c r="Z48" s="184"/>
      <c r="AA48" s="154">
        <f>AA49-$I$2</f>
        <v>1.5235167163916739E-2</v>
      </c>
      <c r="AB48" s="152">
        <f>($Y$4/(1+$AA48)^$L$4+$Y$5/(1+$AA48)^$L$5+$Y$6/(1+$AA48)^$L$6+$Y$7/(1+$AA48)^$L$7+$Y$8/(1+$AA48)^$L$8)+($S$11*$AG$30)/(1+$AA48)^$L$8</f>
        <v>118.50362441691044</v>
      </c>
      <c r="AC48" s="152">
        <f>($Y$4/(1+$AA48)^$L$4+$Y$5/(1+$AA48)^$L$5+$Y$6/(1+$AA48)^$L$6+$Y$7/(1+$AA48)^$L$7+$Y$8/(1+$AA48)^$L$8)+($S$12*$AG$30)/(1+$AA48)^$L$8</f>
        <v>117.19998419263356</v>
      </c>
      <c r="AD48" s="152">
        <f>($Y$4/(1+$AA48)^$L$4+$Y$5/(1+$AA48)^$L$5+$Y$6/(1+$AA48)^$L$6+$Y$7/(1+$AA48)^$L$7+$Y$8/(1+$AA48)^$L$8)+($S$13*$AG$30)/(1+$AA48)^$L$8</f>
        <v>115.89634396835621</v>
      </c>
      <c r="AE48" s="152">
        <f>($Y$4/(1+$AA48)^$L$4+$Y$5/(1+$AA48)^$L$5+$Y$6/(1+$AA48)^$L$6+$Y$7/(1+$AA48)^$L$7+$Y$8/(1+$AA48)^$L$8)+($S$14*$AG$30)/(1+$AA48)^$L$8</f>
        <v>114.59270374407885</v>
      </c>
      <c r="AF48" s="152">
        <f>($Y$4/(1+$AA48)^$L$4+$Y$5/(1+$AA48)^$L$5+$Y$6/(1+$AA48)^$L$6+$Y$7/(1+$AA48)^$L$7+$Y$8/(1+$AA48)^$L$8)+($S$15*$AG$30)/(1+$AA48)^$L$8</f>
        <v>113.289063519802</v>
      </c>
      <c r="AG48" s="232"/>
    </row>
    <row r="49" spans="1:33" ht="15" customHeight="1" x14ac:dyDescent="0.25">
      <c r="A49" s="217"/>
      <c r="B49" s="169">
        <f>B50-$I$2</f>
        <v>3.5235167163916739E-2</v>
      </c>
      <c r="C49" s="170">
        <f t="shared" ref="C49:C52" si="16">($AB$4/(1+$B49)^$L$4+$AB$5/(1+$B49)^$L$5+$AB$6/(1+$B49)^$L$6+$AB$7/(1+$B49)^$L$7+$AB$8/(1+$B49)^$L$8)+($U$8*($AA$11-$I$10)/($B49-C$47)/(1+$B49)^$L$8)+$U$3</f>
        <v>138.61871505925419</v>
      </c>
      <c r="D49" s="170">
        <f t="shared" ref="D49:D52" si="17">($AB$4/(1+$B49)^$L$4+$AB$5/(1+$B49)^$L$5+$AB$6/(1+$B49)^$L$6+$AB$7/(1+$B49)^$L$7+$AB$8/(1+$B49)^$L$8)+($U$8*($AA$12-$I$10)/($B49-D$47)/(1+$B49)^$L$8)+$U$3</f>
        <v>203.29806572099989</v>
      </c>
      <c r="E49" s="170">
        <f t="shared" ref="E49:E52" si="18">($AB$4/(1+$B49)^$L$4+$AB$5/(1+$B49)^$L$5+$AB$6/(1+$B49)^$L$6+$AB$7/(1+$B49)^$L$7+$AB$8/(1+$B49)^$L$8)+($U$8*($AA$13-$I$10)/($B49-E$47)/(1+$B49)^$L$8)+$U$3</f>
        <v>20.881770201482141</v>
      </c>
      <c r="F49" s="170">
        <f t="shared" ref="F49:F52" si="19">($AB$4/(1+$B49)^$L$4+$AB$5/(1+$B49)^$L$5+$AB$6/(1+$B49)^$L$6+$AB$7/(1+$B49)^$L$7+$AB$8/(1+$B49)^$L$8)+($U$8*($AA$14-$I$10)/($B49-F$47)/(1+$B49)^$L$8)+$U$3</f>
        <v>77.932877378478338</v>
      </c>
      <c r="G49" s="170">
        <f t="shared" ref="G49:G52" si="20">($AB$4/(1+$B49)^$L$4+$AB$5/(1+$B49)^$L$5+$AB$6/(1+$B49)^$L$6+$AB$7/(1+$B49)^$L$7+$AB$8/(1+$B49)^$L$8)+($U$8*($AA$15-$I$10)/($B49-G$47)/(1+$B49)^$L$8)+$U$3</f>
        <v>89.768427387641552</v>
      </c>
      <c r="H49" s="218"/>
      <c r="J49" s="146">
        <f>J50-$I$2</f>
        <v>3.5235167163916739E-2</v>
      </c>
      <c r="K49" s="147">
        <f>($Y$4/(1+$J49)^$L$4+$Y$5/(1+$J49)^$L$5+$Y$6/(1+$J49)^$L$6+$Y$7/(1+$J49)^$L$7+$Y$8/(1+$J49)^$L$8)+($V$11*(1-K$47/($AA$11+$I$3+$I$3))/($J49-K$47)/(1+$J49)^$L$8)</f>
        <v>-252.68741494708746</v>
      </c>
      <c r="L49" s="147">
        <f>($Y$4/(1+$J49)^$L$4+$Y$5/(1+$J49)^$L$5+$Y$6/(1+$J49)^$L$6+$Y$7/(1+$J49)^$L$7+$Y$8/(1+$J49)^$L$8)+($V$12*(1-L$47/($AA$12+$I$3+$I$3))/($J49-L$47)/(1+$J49)^$L$8)</f>
        <v>-911.88149405209879</v>
      </c>
      <c r="M49" s="147">
        <f>($Y$4/(1+$J49)^$L$4+$Y$5/(1+$J49)^$L$5+$Y$6/(1+$J49)^$L$6+$Y$7/(1+$J49)^$L$7+$Y$8/(1+$J49)^$L$8)+($V$13*(1-M$47/($AA$13+$I$3+$I$3))/($J49-M$47)/(1+$J49)^$L$8)</f>
        <v>944.24237626505351</v>
      </c>
      <c r="N49" s="147">
        <f>($Y$4/(1+$J49)^$L$4+$Y$5/(1+$J49)^$L$5+$Y$6/(1+$J49)^$L$6+$Y$7/(1+$J49)^$L$7+$Y$8/(1+$J49)^$L$8)+($V$14*(1-N$47/($AA$14+$I$3+$I$3))/($J49-N$47)/(1+$J49)^$L$8)</f>
        <v>362.70024310198835</v>
      </c>
      <c r="O49" s="147">
        <f>($Y$4/(1+$J49)^$L$4+$Y$5/(1+$J49)^$L$5+$Y$6/(1+$J49)^$L$6+$Y$7/(1+$J49)^$L$7+$Y$8/(1+$J49)^$L$8)+($V$15*(1-O$47/($AA$15+$I$3+$I$3))/($J49-O$47)/(1+$J49)^$L$8)</f>
        <v>241.43130493461868</v>
      </c>
      <c r="P49" s="230"/>
      <c r="Q49" s="164"/>
      <c r="R49" s="234"/>
      <c r="S49" s="149">
        <f>S50-$I$2</f>
        <v>3.5235167163916739E-2</v>
      </c>
      <c r="T49" s="150">
        <f t="shared" ref="T49:T51" si="21">($Y$4/(1+$S49)^$L$4+$Y$5/(1+$S49)^$L$5+$Y$6/(1+$S49)^$L$6+$Y$7/(1+$S49)^$L$7+$Y$8/(1+$S49)^$L$8)+($Y$11/($S49-T$47)/(1+$S49)^$L$8)+($Z$4/(1+$Y$50)^$L$4+$Z$5/(1+$Y$50)^$L$5+$Z$6/(1+$Y$50)^$L$6+$Z$7/(1+$Y$50)^$L$7+$Z$8/(1+$Y$50)^$L$8)+($Z$11/($Y$50-T$47)/(1+$Y$50)^$L$8)</f>
        <v>-15.460212970298947</v>
      </c>
      <c r="U49" s="150">
        <f>($Y$4/(1+$S49)^$L$4+$Y$5/(1+$S49)^$L$5+$Y$6/(1+$S49)^$L$6+$Y$7/(1+$S49)^$L$7+$Y$8/(1+$S49)^$L$8)+($Y12/($S49-U$47)/(1+$S49)^$L$8)+($Z$4/(1+$Y$50)^$L$4+$Z$5/(1+$Y$50)^$L$5+$Z$6/(1+$Y$50)^$L$6+$Z$7/(1+$Y$50)^$L$7+$Z$8/(1+$Y$50)^$L$8)+($Z12/($Y$50-U$47)/(1+$Y$50)^$L$8)</f>
        <v>-390.55263508539616</v>
      </c>
      <c r="V49" s="150">
        <f>($Y$4/(1+$S49)^$L$4+$Y$5/(1+$S49)^$L$5+$Y$6/(1+$S49)^$L$6+$Y$7/(1+$S49)^$L$7+$Y$8/(1+$S49)^$L$8)+($Y13/($S49-V$47)/(1+$S49)^$L$8)+($Z$4/(1+$Y$50)^$L$4+$Z$5/(1+$Y$50)^$L$5+$Z$6/(1+$Y$50)^$L$6+$Z$7/(1+$Y$50)^$L$7+$Z$8/(1+$Y$50)^$L$8)+($Z13/($Y$50-V$47)/(1+$Y$50)^$L$8)</f>
        <v>643.67468873649807</v>
      </c>
      <c r="W49" s="150">
        <f>($Y$4/(1+$S49)^$L$4+$Y$5/(1+$S49)^$L$5+$Y$6/(1+$S49)^$L$6+$Y$7/(1+$S49)^$L$7+$Y$8/(1+$S49)^$L$8)+($Y14/($S49-W$47)/(1+$S49)^$L$8)+($Z$4/(1+$Y$50)^$L$4+$Z$5/(1+$Y$50)^$L$5+$Z$6/(1+$Y$50)^$L$6+$Z$7/(1+$Y$50)^$L$7+$Z$8/(1+$Y$50)^$L$8)+($Z14/($Y$50-W$47)/(1+$Y$50)^$L$8)</f>
        <v>315.33109609131327</v>
      </c>
      <c r="X49" s="150">
        <f>($Y$4/(1+$S49)^$L$4+$Y$5/(1+$S49)^$L$5+$Y$6/(1+$S49)^$L$6+$Y$7/(1+$S49)^$L$7+$Y$8/(1+$S49)^$L$8)+($Y15/($S49-X$47)/(1+$S49)^$L$8)+($Z$4/(1+$Y$50)^$L$4+$Z$5/(1+$Y$50)^$L$5+$Z$6/(1+$Y$50)^$L$6+$Z$7/(1+$Y$50)^$L$7+$Z$8/(1+$Y$50)^$L$8)+($Z15/($Y$50-X$47)/(1+$Y$50)^$L$8)</f>
        <v>245.30266720836849</v>
      </c>
      <c r="Y49" s="231"/>
      <c r="Z49" s="184"/>
      <c r="AA49" s="154">
        <f>AA50-$I$2</f>
        <v>3.5235167163916739E-2</v>
      </c>
      <c r="AB49" s="152">
        <f>($Y$4/(1+$AA49)^$L$4+$Y$5/(1+$AA49)^$L$5+$Y$6/(1+$AA49)^$L$6+$Y$7/(1+$AA49)^$L$7+$Y$8/(1+$AA49)^$L$8)+($S$11*$AG$30)/(1+$AA49)^$L$8</f>
        <v>106.86602017956622</v>
      </c>
      <c r="AC49" s="152">
        <f>($Y$4/(1+$AA49)^$L$4+$Y$5/(1+$AA49)^$L$5+$Y$6/(1+$AA49)^$L$6+$Y$7/(1+$AA49)^$L$7+$Y$8/(1+$AA49)^$L$8)+($S$12*$AG$30)/(1+$AA49)^$L$8</f>
        <v>105.68353437911692</v>
      </c>
      <c r="AD49" s="152">
        <f>($Y$4/(1+$AA49)^$L$4+$Y$5/(1+$AA49)^$L$5+$Y$6/(1+$AA49)^$L$6+$Y$7/(1+$AA49)^$L$7+$Y$8/(1+$AA49)^$L$8)+($S$13*$AG$30)/(1+$AA49)^$L$8</f>
        <v>104.50104857866718</v>
      </c>
      <c r="AE49" s="152">
        <f>($Y$4/(1+$AA49)^$L$4+$Y$5/(1+$AA49)^$L$5+$Y$6/(1+$AA49)^$L$6+$Y$7/(1+$AA49)^$L$7+$Y$8/(1+$AA49)^$L$8)+($S$14*$AG$30)/(1+$AA49)^$L$8</f>
        <v>103.31856277821744</v>
      </c>
      <c r="AF49" s="152">
        <f>($Y$4/(1+$AA49)^$L$4+$Y$5/(1+$AA49)^$L$5+$Y$6/(1+$AA49)^$L$6+$Y$7/(1+$AA49)^$L$7+$Y$8/(1+$AA49)^$L$8)+($S$15*$AG$30)/(1+$AA49)^$L$8</f>
        <v>102.13607697776816</v>
      </c>
      <c r="AG49" s="232"/>
    </row>
    <row r="50" spans="1:33" ht="15" customHeight="1" x14ac:dyDescent="0.25">
      <c r="A50" s="217"/>
      <c r="B50" s="169">
        <f>$I$10</f>
        <v>5.5235167163916743E-2</v>
      </c>
      <c r="C50" s="170">
        <f t="shared" si="16"/>
        <v>28.930173628915384</v>
      </c>
      <c r="D50" s="170">
        <f t="shared" si="17"/>
        <v>80.77588993878858</v>
      </c>
      <c r="E50" s="170">
        <f t="shared" si="18"/>
        <v>91.531554438735597</v>
      </c>
      <c r="F50" s="170">
        <f t="shared" si="19"/>
        <v>96.18214530590501</v>
      </c>
      <c r="G50" s="170">
        <f t="shared" si="20"/>
        <v>98.776552385661347</v>
      </c>
      <c r="H50" s="218"/>
      <c r="J50" s="146">
        <f>$I$10</f>
        <v>5.5235167163916743E-2</v>
      </c>
      <c r="K50" s="147">
        <f>($Y$4/(1+$J50)^$L$4+$Y$5/(1+$J50)^$L$5+$Y$6/(1+$J50)^$L$6+$Y$7/(1+$J50)^$L$7+$Y$8/(1+$J50)^$L$8)+($V$11*(1-K$47/($AA$11+$I$3+$I$3))/($J50-K$47)/(1+$J50)^$L$8)</f>
        <v>587.00203303488843</v>
      </c>
      <c r="L50" s="147">
        <f>($Y$4/(1+$J50)^$L$4+$Y$5/(1+$J50)^$L$5+$Y$6/(1+$J50)^$L$6+$Y$7/(1+$J50)^$L$7+$Y$8/(1+$J50)^$L$8)+($V$12*(1-L$47/($AA$12+$I$3+$I$3))/($J50-L$47)/(1+$J50)^$L$8)</f>
        <v>237.95000025174454</v>
      </c>
      <c r="M50" s="147">
        <f>($Y$4/(1+$J50)^$L$4+$Y$5/(1+$J50)^$L$5+$Y$6/(1+$J50)^$L$6+$Y$7/(1+$J50)^$L$7+$Y$8/(1+$J50)^$L$8)+($V$13*(1-M$47/($AA$13+$I$3+$I$3))/($J50-M$47)/(1+$J50)^$L$8)</f>
        <v>164.96937140213305</v>
      </c>
      <c r="N50" s="147">
        <f>($Y$4/(1+$J50)^$L$4+$Y$5/(1+$J50)^$L$5+$Y$6/(1+$J50)^$L$6+$Y$7/(1+$J50)^$L$7+$Y$8/(1+$J50)^$L$8)+($V$14*(1-N$47/($AA$14+$I$3+$I$3))/($J50-N$47)/(1+$J50)^$L$8)</f>
        <v>133.00685216005334</v>
      </c>
      <c r="O50" s="147">
        <f>($Y$4/(1+$J50)^$L$4+$Y$5/(1+$J50)^$L$5+$Y$6/(1+$J50)^$L$6+$Y$7/(1+$J50)^$L$7+$Y$8/(1+$J50)^$L$8)+($V$15*(1-O$47/($AA$15+$I$3+$I$3))/($J50-O$47)/(1+$J50)^$L$8)</f>
        <v>114.85919855899454</v>
      </c>
      <c r="P50" s="235">
        <f>$AA$11+$I$3+$I$3</f>
        <v>9.1974417916562301E-2</v>
      </c>
      <c r="Q50" s="165"/>
      <c r="R50" s="234"/>
      <c r="S50" s="149">
        <f>$I$10</f>
        <v>5.5235167163916743E-2</v>
      </c>
      <c r="T50" s="150">
        <f t="shared" si="21"/>
        <v>139.53000478237223</v>
      </c>
      <c r="U50" s="150">
        <f>($Y$4/(1+$S50)^$L$4+$Y$5/(1+$S50)^$L$5+$Y$6/(1+$S50)^$L$6+$Y$7/(1+$S50)^$L$7+$Y$8/(1+$S50)^$L$8)+($Y12/($S50-U$47)/(1+$S50)^$L$8)+($Z$4/(1+$Y$50)^$L$4+$Z$5/(1+$Y$50)^$L$5+$Z$6/(1+$Y$50)^$L$6+$Z$7/(1+$Y$50)^$L$7+$Z$8/(1+$Y$50)^$L$8)+($Z12/($Y$50-U$47)/(1+$Y$50)^$L$8)</f>
        <v>138.99852663773683</v>
      </c>
      <c r="V50" s="150">
        <f>($Y$4/(1+$S50)^$L$4+$Y$5/(1+$S50)^$L$5+$Y$6/(1+$S50)^$L$6+$Y$7/(1+$S50)^$L$7+$Y$8/(1+$S50)^$L$8)+($Y13/($S50-V$47)/(1+$S50)^$L$8)+($Z$4/(1+$Y$50)^$L$4+$Z$5/(1+$Y$50)^$L$5+$Z$6/(1+$Y$50)^$L$6+$Z$7/(1+$Y$50)^$L$7+$Z$8/(1+$Y$50)^$L$8)+($Z13/($Y$50-V$47)/(1+$Y$50)^$L$8)</f>
        <v>135.61706696075987</v>
      </c>
      <c r="W50" s="150">
        <f>($Y$4/(1+$S50)^$L$4+$Y$5/(1+$S50)^$L$5+$Y$6/(1+$S50)^$L$6+$Y$7/(1+$S50)^$L$7+$Y$8/(1+$S50)^$L$8)+($Y14/($S50-W$47)/(1+$S50)^$L$8)+($Z$4/(1+$Y$50)^$L$4+$Z$5/(1+$Y$50)^$L$5+$Z$6/(1+$Y$50)^$L$6+$Z$7/(1+$Y$50)^$L$7+$Z$8/(1+$Y$50)^$L$8)+($Z14/($Y$50-W$47)/(1+$Y$50)^$L$8)</f>
        <v>132.74635802615788</v>
      </c>
      <c r="X50" s="150">
        <f>($Y$4/(1+$S50)^$L$4+$Y$5/(1+$S50)^$L$5+$Y$6/(1+$S50)^$L$6+$Y$7/(1+$S50)^$L$7+$Y$8/(1+$S50)^$L$8)+($Y15/($S50-X$47)/(1+$S50)^$L$8)+($Z$4/(1+$Y$50)^$L$4+$Z$5/(1+$Y$50)^$L$5+$Z$6/(1+$Y$50)^$L$6+$Z$7/(1+$Y$50)^$L$7+$Z$8/(1+$Y$50)^$L$8)+($Z15/($Y$50-X$47)/(1+$Y$50)^$L$8)</f>
        <v>130.43385422300111</v>
      </c>
      <c r="Y50" s="236">
        <f>'Mkt Val without BOP'!$J$7+$I$2+$I$2</f>
        <v>9.5235167163916751E-2</v>
      </c>
      <c r="Z50" s="184"/>
      <c r="AA50" s="154">
        <f>$I$10</f>
        <v>5.5235167163916743E-2</v>
      </c>
      <c r="AB50" s="152">
        <f>($Y$4/(1+$AA50)^$L$4+$Y$5/(1+$AA50)^$L$5+$Y$6/(1+$AA50)^$L$6+$Y$7/(1+$AA50)^$L$7+$Y$8/(1+$AA50)^$L$8)+($S$11*$AG$30)/(1+$AA50)^$L$8</f>
        <v>96.526232523029421</v>
      </c>
      <c r="AC50" s="152">
        <f>($Y$4/(1+$AA50)^$L$4+$Y$5/(1+$AA50)^$L$5+$Y$6/(1+$AA50)^$L$6+$Y$7/(1+$AA50)^$L$7+$Y$8/(1+$AA50)^$L$8)+($S$12*$AG$30)/(1+$AA50)^$L$8</f>
        <v>95.45163771875427</v>
      </c>
      <c r="AD50" s="152">
        <f>($Y$4/(1+$AA50)^$L$4+$Y$5/(1+$AA50)^$L$5+$Y$6/(1+$AA50)^$L$6+$Y$7/(1+$AA50)^$L$7+$Y$8/(1+$AA50)^$L$8)+($S$13*$AG$30)/(1+$AA50)^$L$8</f>
        <v>94.377042914478722</v>
      </c>
      <c r="AE50" s="152">
        <f>($Y$4/(1+$AA50)^$L$4+$Y$5/(1+$AA50)^$L$5+$Y$6/(1+$AA50)^$L$6+$Y$7/(1+$AA50)^$L$7+$Y$8/(1+$AA50)^$L$8)+($S$14*$AG$30)/(1+$AA50)^$L$8</f>
        <v>93.302448110203187</v>
      </c>
      <c r="AF50" s="152">
        <f>($Y$4/(1+$AA50)^$L$4+$Y$5/(1+$AA50)^$L$5+$Y$6/(1+$AA50)^$L$6+$Y$7/(1+$AA50)^$L$7+$Y$8/(1+$AA50)^$L$8)+($S$15*$AG$30)/(1+$AA50)^$L$8</f>
        <v>92.227853305928051</v>
      </c>
      <c r="AG50" s="232"/>
    </row>
    <row r="51" spans="1:33" ht="15" customHeight="1" x14ac:dyDescent="0.25">
      <c r="A51" s="217"/>
      <c r="B51" s="169">
        <f>B50+$I$2</f>
        <v>7.5235167163916747E-2</v>
      </c>
      <c r="C51" s="170">
        <f t="shared" si="16"/>
        <v>93.107694057630056</v>
      </c>
      <c r="D51" s="170">
        <f t="shared" si="17"/>
        <v>97.341560116083869</v>
      </c>
      <c r="E51" s="170">
        <f t="shared" si="18"/>
        <v>99.703490543963895</v>
      </c>
      <c r="F51" s="170">
        <f t="shared" si="19"/>
        <v>101.21019393111797</v>
      </c>
      <c r="G51" s="170">
        <f t="shared" si="20"/>
        <v>102.25496751793379</v>
      </c>
      <c r="H51" s="218"/>
      <c r="J51" s="146">
        <f>J50+$I$2</f>
        <v>7.5235167163916747E-2</v>
      </c>
      <c r="K51" s="147">
        <f>($Y$4/(1+$J51)^$L$4+$Y$5/(1+$J51)^$L$5+$Y$6/(1+$J51)^$L$6+$Y$7/(1+$J51)^$L$7+$Y$8/(1+$J51)^$L$8)+($V$11*(1-K$47/($AA$11+$I$3+$I$3))/($J51-K$47)/(1+$J51)^$L$8)</f>
        <v>98.542369618708534</v>
      </c>
      <c r="L51" s="147">
        <f>($Y$4/(1+$J51)^$L$4+$Y$5/(1+$J51)^$L$5+$Y$6/(1+$J51)^$L$6+$Y$7/(1+$J51)^$L$7+$Y$8/(1+$J51)^$L$8)+($V$12*(1-L$47/($AA$12+$I$3+$I$3))/($J51-L$47)/(1+$J51)^$L$8)</f>
        <v>84.683634597190519</v>
      </c>
      <c r="M51" s="147">
        <f>($Y$4/(1+$J51)^$L$4+$Y$5/(1+$J51)^$L$5+$Y$6/(1+$J51)^$L$6+$Y$7/(1+$J51)^$L$7+$Y$8/(1+$J51)^$L$8)+($V$13*(1-M$47/($AA$13+$I$3+$I$3))/($J51-M$47)/(1+$J51)^$L$8)</f>
        <v>76.663860509536249</v>
      </c>
      <c r="N51" s="147">
        <f>($Y$4/(1+$J51)^$L$4+$Y$5/(1+$J51)^$L$5+$Y$6/(1+$J51)^$L$6+$Y$7/(1+$J51)^$L$7+$Y$8/(1+$J51)^$L$8)+($V$14*(1-N$47/($AA$14+$I$3+$I$3))/($J51-N$47)/(1+$J51)^$L$8)</f>
        <v>71.311719431706649</v>
      </c>
      <c r="O51" s="147">
        <f>($Y$4/(1+$J51)^$L$4+$Y$5/(1+$J51)^$L$5+$Y$6/(1+$J51)^$L$6+$Y$7/(1+$J51)^$L$7+$Y$8/(1+$J51)^$L$8)+($V$15*(1-O$47/($AA$15+$I$3+$I$3))/($J51-O$47)/(1+$J51)^$L$8)</f>
        <v>67.400434553371412</v>
      </c>
      <c r="P51" s="235"/>
      <c r="Q51" s="165"/>
      <c r="R51" s="234"/>
      <c r="S51" s="149">
        <f>S50+$I$2</f>
        <v>7.5235167163916747E-2</v>
      </c>
      <c r="T51" s="150">
        <f t="shared" si="21"/>
        <v>50.577732814289178</v>
      </c>
      <c r="U51" s="150">
        <f>($Y$4/(1+$S51)^$L$4+$Y$5/(1+$S51)^$L$5+$Y$6/(1+$S51)^$L$6+$Y$7/(1+$S51)^$L$7+$Y$8/(1+$S51)^$L$8)+($Y12/($S51-U$47)/(1+$S51)^$L$8)+($Z$4/(1+$Y$50)^$L$4+$Z$5/(1+$Y$50)^$L$5+$Z$6/(1+$Y$50)^$L$6+$Z$7/(1+$Y$50)^$L$7+$Z$8/(1+$Y$50)^$L$8)+($Z12/($Y$50-U$47)/(1+$Y$50)^$L$8)</f>
        <v>68.971600511711685</v>
      </c>
      <c r="V51" s="150">
        <f>($Y$4/(1+$S51)^$L$4+$Y$5/(1+$S51)^$L$5+$Y$6/(1+$S51)^$L$6+$Y$7/(1+$S51)^$L$7+$Y$8/(1+$S51)^$L$8)+($Y13/($S51-V$47)/(1+$S51)^$L$8)+($Z$4/(1+$Y$50)^$L$4+$Z$5/(1+$Y$50)^$L$5+$Z$6/(1+$Y$50)^$L$6+$Z$7/(1+$Y$50)^$L$7+$Z$8/(1+$Y$50)^$L$8)+($Z13/($Y$50-V$47)/(1+$Y$50)^$L$8)</f>
        <v>78.320469787805393</v>
      </c>
      <c r="W51" s="150">
        <f>($Y$4/(1+$S51)^$L$4+$Y$5/(1+$S51)^$L$5+$Y$6/(1+$S51)^$L$6+$Y$7/(1+$S51)^$L$7+$Y$8/(1+$S51)^$L$8)+($Y14/($S51-W$47)/(1+$S51)^$L$8)+($Z$4/(1+$Y$50)^$L$4+$Z$5/(1+$Y$50)^$L$5+$Z$6/(1+$Y$50)^$L$6+$Z$7/(1+$Y$50)^$L$7+$Z$8/(1+$Y$50)^$L$8)+($Z14/($Y$50-W$47)/(1+$Y$50)^$L$8)</f>
        <v>83.834937915627336</v>
      </c>
      <c r="X51" s="150">
        <f>($Y$4/(1+$S51)^$L$4+$Y$5/(1+$S51)^$L$5+$Y$6/(1+$S51)^$L$6+$Y$7/(1+$S51)^$L$7+$Y$8/(1+$S51)^$L$8)+($Y15/($S51-X$47)/(1+$S51)^$L$8)+($Z$4/(1+$Y$50)^$L$4+$Z$5/(1+$Y$50)^$L$5+$Z$6/(1+$Y$50)^$L$6+$Z$7/(1+$Y$50)^$L$7+$Z$8/(1+$Y$50)^$L$8)+($Z15/($Y$50-X$47)/(1+$Y$50)^$L$8)</f>
        <v>87.412242299105969</v>
      </c>
      <c r="Y51" s="236"/>
      <c r="Z51" s="184"/>
      <c r="AA51" s="154">
        <f>AA50+$I$2</f>
        <v>7.5235167163916747E-2</v>
      </c>
      <c r="AB51" s="152">
        <f>($Y$4/(1+$AA51)^$L$4+$Y$5/(1+$AA51)^$L$5+$Y$6/(1+$AA51)^$L$6+$Y$7/(1+$AA51)^$L$7+$Y$8/(1+$AA51)^$L$8)+($S$11*$AG$30)/(1+$AA51)^$L$8</f>
        <v>87.319960107462265</v>
      </c>
      <c r="AC51" s="152">
        <f>($Y$4/(1+$AA51)^$L$4+$Y$5/(1+$AA51)^$L$5+$Y$6/(1+$AA51)^$L$6+$Y$7/(1+$AA51)^$L$7+$Y$8/(1+$AA51)^$L$8)+($S$12*$AG$30)/(1+$AA51)^$L$8</f>
        <v>86.34165636104396</v>
      </c>
      <c r="AD51" s="152">
        <f>($Y$4/(1+$AA51)^$L$4+$Y$5/(1+$AA51)^$L$5+$Y$6/(1+$AA51)^$L$6+$Y$7/(1+$AA51)^$L$7+$Y$8/(1+$AA51)^$L$8)+($S$13*$AG$30)/(1+$AA51)^$L$8</f>
        <v>85.363352614625285</v>
      </c>
      <c r="AE51" s="152">
        <f>($Y$4/(1+$AA51)^$L$4+$Y$5/(1+$AA51)^$L$5+$Y$6/(1+$AA51)^$L$6+$Y$7/(1+$AA51)^$L$7+$Y$8/(1+$AA51)^$L$8)+($S$14*$AG$30)/(1+$AA51)^$L$8</f>
        <v>84.38504886820661</v>
      </c>
      <c r="AF51" s="152">
        <f>($Y$4/(1+$AA51)^$L$4+$Y$5/(1+$AA51)^$L$5+$Y$6/(1+$AA51)^$L$6+$Y$7/(1+$AA51)^$L$7+$Y$8/(1+$AA51)^$L$8)+($S$15*$AG$30)/(1+$AA51)^$L$8</f>
        <v>83.406745121788305</v>
      </c>
      <c r="AG51" s="240">
        <f>'Fin Stmt'!P44+I7+I7</f>
        <v>16.760334789512982</v>
      </c>
    </row>
    <row r="52" spans="1:33" ht="15" customHeight="1" x14ac:dyDescent="0.25">
      <c r="A52" s="217"/>
      <c r="B52" s="169">
        <f>B51+$I$2</f>
        <v>9.5235167163916751E-2</v>
      </c>
      <c r="C52" s="170">
        <f t="shared" si="16"/>
        <v>100.53488916367353</v>
      </c>
      <c r="D52" s="170">
        <f t="shared" si="17"/>
        <v>101.90895697005702</v>
      </c>
      <c r="E52" s="170">
        <f t="shared" si="18"/>
        <v>102.86175880407569</v>
      </c>
      <c r="F52" s="170">
        <f t="shared" si="19"/>
        <v>103.56127434394877</v>
      </c>
      <c r="G52" s="170">
        <f t="shared" si="20"/>
        <v>104.09665210756175</v>
      </c>
      <c r="H52" s="218"/>
      <c r="J52" s="146">
        <f>J51+$I$2</f>
        <v>9.5235167163916751E-2</v>
      </c>
      <c r="K52" s="147">
        <f>($Y$4/(1+$J52)^$L$4+$Y$5/(1+$J52)^$L$5+$Y$6/(1+$J52)^$L$6+$Y$7/(1+$J52)^$L$7+$Y$8/(1+$J52)^$L$8)+($V$11*(1-K$47/($AA$11+$I$3+$I$3))/($J52-K$47)/(1+$J52)^$L$8)</f>
        <v>43.396874421035413</v>
      </c>
      <c r="L52" s="147">
        <f>($Y$4/(1+$J52)^$L$4+$Y$5/(1+$J52)^$L$5+$Y$6/(1+$J52)^$L$6+$Y$7/(1+$J52)^$L$7+$Y$8/(1+$J52)^$L$8)+($V$12*(1-L$47/($AA$12+$I$3+$I$3))/($J52-L$47)/(1+$J52)^$L$8)</f>
        <v>43.652319648674222</v>
      </c>
      <c r="M52" s="147">
        <f>($Y$4/(1+$J52)^$L$4+$Y$5/(1+$J52)^$L$5+$Y$6/(1+$J52)^$L$6+$Y$7/(1+$J52)^$L$7+$Y$8/(1+$J52)^$L$8)+($V$13*(1-M$47/($AA$13+$I$3+$I$3))/($J52-M$47)/(1+$J52)^$L$8)</f>
        <v>43.647037672550525</v>
      </c>
      <c r="N52" s="147">
        <f>($Y$4/(1+$J52)^$L$4+$Y$5/(1+$J52)^$L$5+$Y$6/(1+$J52)^$L$6+$Y$7/(1+$J52)^$L$7+$Y$8/(1+$J52)^$L$8)+($V$14*(1-N$47/($AA$14+$I$3+$I$3))/($J52-N$47)/(1+$J52)^$L$8)</f>
        <v>43.484993385782026</v>
      </c>
      <c r="O52" s="147">
        <f>($Y$4/(1+$J52)^$L$4+$Y$5/(1+$J52)^$L$5+$Y$6/(1+$J52)^$L$6+$Y$7/(1+$J52)^$L$7+$Y$8/(1+$J52)^$L$8)+($V$15*(1-O$47/($AA$15+$I$3+$I$3))/($J52-O$47)/(1+$J52)^$L$8)</f>
        <v>43.221362010942329</v>
      </c>
      <c r="P52" s="235"/>
      <c r="Q52" s="165"/>
      <c r="R52" s="234"/>
      <c r="S52" s="149">
        <f>S51+$I$2</f>
        <v>9.5235167163916751E-2</v>
      </c>
      <c r="T52" s="150">
        <f>($Y$4/(1+$S52)^$L$4+$Y$5/(1+$S52)^$L$5+$Y$6/(1+$S52)^$L$6+$Y$7/(1+$S52)^$L$7+$Y$8/(1+$S52)^$L$8)+($Y$11/($S52-T$47)/(1+$S52)^$L$8)+($Z$4/(1+$Y$50)^$L$4+$Z$5/(1+$Y$50)^$L$5+$Z$6/(1+$Y$50)^$L$6+$Z$7/(1+$Y$50)^$L$7+$Z$8/(1+$Y$50)^$L$8)+($Z$11/($Y$50-T$47)/(1+$Y$50)^$L$8)</f>
        <v>41.128622794154296</v>
      </c>
      <c r="U52" s="150">
        <f>($Y$4/(1+$S52)^$L$4+$Y$5/(1+$S52)^$L$5+$Y$6/(1+$S52)^$L$6+$Y$7/(1+$S52)^$L$7+$Y$8/(1+$S52)^$L$8)+($Y12/($S52-U$47)/(1+$S52)^$L$8)+($Z$4/(1+$Y$50)^$L$4+$Z$5/(1+$Y$50)^$L$5+$Z$6/(1+$Y$50)^$L$6+$Z$7/(1+$Y$50)^$L$7+$Z$8/(1+$Y$50)^$L$8)+($Z12/($Y$50-U$47)/(1+$Y$50)^$L$8)</f>
        <v>50.541321264355396</v>
      </c>
      <c r="V52" s="150">
        <f>($Y$4/(1+$S52)^$L$4+$Y$5/(1+$S52)^$L$5+$Y$6/(1+$S52)^$L$6+$Y$7/(1+$S52)^$L$7+$Y$8/(1+$S52)^$L$8)+($Y13/($S52-V$47)/(1+$S52)^$L$8)+($Z$4/(1+$Y$50)^$L$4+$Z$5/(1+$Y$50)^$L$5+$Z$6/(1+$Y$50)^$L$6+$Z$7/(1+$Y$50)^$L$7+$Z$8/(1+$Y$50)^$L$8)+($Z13/($Y$50-V$47)/(1+$Y$50)^$L$8)</f>
        <v>57.068245426183623</v>
      </c>
      <c r="W52" s="150">
        <f>($Y$4/(1+$S52)^$L$4+$Y$5/(1+$S52)^$L$5+$Y$6/(1+$S52)^$L$6+$Y$7/(1+$S52)^$L$7+$Y$8/(1+$S52)^$L$8)+($Y14/($S52-W$47)/(1+$S52)^$L$8)+($Z$4/(1+$Y$50)^$L$4+$Z$5/(1+$Y$50)^$L$5+$Z$6/(1+$Y$50)^$L$6+$Z$7/(1+$Y$50)^$L$7+$Z$8/(1+$Y$50)^$L$8)+($Z14/($Y$50-W$47)/(1+$Y$50)^$L$8)</f>
        <v>61.860096906480379</v>
      </c>
      <c r="X52" s="150">
        <f>($Y$4/(1+$S52)^$L$4+$Y$5/(1+$S52)^$L$5+$Y$6/(1+$S52)^$L$6+$Y$7/(1+$S52)^$L$7+$Y$8/(1+$S52)^$L$8)+($Y15/($S52-X$47)/(1+$S52)^$L$8)+($Z$4/(1+$Y$50)^$L$4+$Z$5/(1+$Y$50)^$L$5+$Z$6/(1+$Y$50)^$L$6+$Z$7/(1+$Y$50)^$L$7+$Z$8/(1+$Y$50)^$L$8)+($Z15/($Y$50-X$47)/(1+$Y$50)^$L$8)</f>
        <v>65.527564722208069</v>
      </c>
      <c r="Y52" s="236"/>
      <c r="Z52" s="184"/>
      <c r="AA52" s="154">
        <f>AA51+$I$2</f>
        <v>9.5235167163916751E-2</v>
      </c>
      <c r="AB52" s="152">
        <f>($Y$4/(1+$AA52)^$L$4+$Y$5/(1+$AA52)^$L$5+$Y$6/(1+$AA52)^$L$6+$Y$7/(1+$AA52)^$L$7+$Y$8/(1+$AA52)^$L$8)+($S$11*$AG$30)/(1+$AA52)^$L$8</f>
        <v>79.106166517143294</v>
      </c>
      <c r="AC52" s="152">
        <f>($Y$4/(1+$AA52)^$L$4+$Y$5/(1+$AA52)^$L$5+$Y$6/(1+$AA52)^$L$6+$Y$7/(1+$AA52)^$L$7+$Y$8/(1+$AA52)^$L$8)+($S$12*$AG$30)/(1+$AA52)^$L$8</f>
        <v>78.213983162225304</v>
      </c>
      <c r="AD52" s="152">
        <f>($Y$4/(1+$AA52)^$L$4+$Y$5/(1+$AA52)^$L$5+$Y$6/(1+$AA52)^$L$6+$Y$7/(1+$AA52)^$L$7+$Y$8/(1+$AA52)^$L$8)+($S$13*$AG$30)/(1+$AA52)^$L$8</f>
        <v>77.321799807307002</v>
      </c>
      <c r="AE52" s="152">
        <f>($Y$4/(1+$AA52)^$L$4+$Y$5/(1+$AA52)^$L$5+$Y$6/(1+$AA52)^$L$6+$Y$7/(1+$AA52)^$L$7+$Y$8/(1+$AA52)^$L$8)+($S$14*$AG$30)/(1+$AA52)^$L$8</f>
        <v>76.4296164523887</v>
      </c>
      <c r="AF52" s="152">
        <f>($Y$4/(1+$AA52)^$L$4+$Y$5/(1+$AA52)^$L$5+$Y$6/(1+$AA52)^$L$6+$Y$7/(1+$AA52)^$L$7+$Y$8/(1+$AA52)^$L$8)+($S$15*$AG$30)/(1+$AA52)^$L$8</f>
        <v>75.537433097470725</v>
      </c>
      <c r="AG52" s="240"/>
    </row>
    <row r="53" spans="1:33" ht="15" customHeight="1" x14ac:dyDescent="0.25">
      <c r="J53" s="155"/>
      <c r="L53" s="159"/>
      <c r="Z53" s="159"/>
      <c r="AA53" s="154"/>
      <c r="AB53" s="152"/>
      <c r="AC53" s="152"/>
      <c r="AD53" s="152"/>
      <c r="AE53" s="152"/>
      <c r="AF53" s="152"/>
      <c r="AG53" s="158"/>
    </row>
    <row r="54" spans="1:33" ht="15" customHeight="1" x14ac:dyDescent="0.25">
      <c r="I54" s="93"/>
      <c r="Z54" s="108"/>
      <c r="AA54" s="80"/>
    </row>
    <row r="55" spans="1:33" ht="15" customHeight="1" x14ac:dyDescent="0.25"/>
    <row r="56" spans="1:33" ht="15" customHeight="1" x14ac:dyDescent="0.25"/>
    <row r="57" spans="1:33" ht="15" customHeight="1" x14ac:dyDescent="0.25"/>
    <row r="58" spans="1:33" ht="15" customHeight="1" x14ac:dyDescent="0.25"/>
    <row r="61" spans="1:33" x14ac:dyDescent="0.25">
      <c r="I61" s="93"/>
      <c r="J61" s="155"/>
      <c r="L61" s="159"/>
    </row>
    <row r="62" spans="1:33" ht="15" customHeight="1" x14ac:dyDescent="0.25"/>
  </sheetData>
  <mergeCells count="63">
    <mergeCell ref="P47:P49"/>
    <mergeCell ref="Y47:Y49"/>
    <mergeCell ref="AG47:AG50"/>
    <mergeCell ref="R48:R52"/>
    <mergeCell ref="P50:P52"/>
    <mergeCell ref="Y50:Y52"/>
    <mergeCell ref="AG51:AG52"/>
    <mergeCell ref="P40:P42"/>
    <mergeCell ref="Y40:Y42"/>
    <mergeCell ref="AG40:AG43"/>
    <mergeCell ref="A41:A45"/>
    <mergeCell ref="R41:R45"/>
    <mergeCell ref="P43:P45"/>
    <mergeCell ref="Y43:Y45"/>
    <mergeCell ref="H44:H45"/>
    <mergeCell ref="AG44:AG45"/>
    <mergeCell ref="P33:P35"/>
    <mergeCell ref="Y33:Y35"/>
    <mergeCell ref="AG33:AG36"/>
    <mergeCell ref="A34:A38"/>
    <mergeCell ref="R34:R38"/>
    <mergeCell ref="P36:P38"/>
    <mergeCell ref="Y36:Y38"/>
    <mergeCell ref="AG37:AG38"/>
    <mergeCell ref="P26:P28"/>
    <mergeCell ref="Y26:Y28"/>
    <mergeCell ref="AG26:AG29"/>
    <mergeCell ref="A27:A31"/>
    <mergeCell ref="R27:R31"/>
    <mergeCell ref="P29:P31"/>
    <mergeCell ref="Y29:Y31"/>
    <mergeCell ref="H30:H31"/>
    <mergeCell ref="AG30:AG31"/>
    <mergeCell ref="P19:P21"/>
    <mergeCell ref="Y19:Y21"/>
    <mergeCell ref="AG19:AG22"/>
    <mergeCell ref="A20:A24"/>
    <mergeCell ref="R20:R24"/>
    <mergeCell ref="P22:P24"/>
    <mergeCell ref="Y22:Y24"/>
    <mergeCell ref="AG23:AG24"/>
    <mergeCell ref="T17:X17"/>
    <mergeCell ref="AB17:AF17"/>
    <mergeCell ref="B18:G18"/>
    <mergeCell ref="K18:O18"/>
    <mergeCell ref="T18:X18"/>
    <mergeCell ref="AB18:AF18"/>
    <mergeCell ref="K2:M2"/>
    <mergeCell ref="B3:H4"/>
    <mergeCell ref="I3:I4"/>
    <mergeCell ref="B5:H6"/>
    <mergeCell ref="I5:I6"/>
    <mergeCell ref="B7:H8"/>
    <mergeCell ref="I7:I8"/>
    <mergeCell ref="A47:A52"/>
    <mergeCell ref="H47:H52"/>
    <mergeCell ref="K11:K15"/>
    <mergeCell ref="B17:G17"/>
    <mergeCell ref="K17:O17"/>
    <mergeCell ref="H19:H24"/>
    <mergeCell ref="H26:H29"/>
    <mergeCell ref="H33:H38"/>
    <mergeCell ref="H40:H4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opLeftCell="C1" zoomScaleNormal="100" workbookViewId="0">
      <selection activeCell="Y58" sqref="Y58"/>
    </sheetView>
  </sheetViews>
  <sheetFormatPr defaultRowHeight="15" x14ac:dyDescent="0.25"/>
  <cols>
    <col min="2" max="2" width="7.7109375" customWidth="1"/>
    <col min="3" max="3" width="10.140625" bestFit="1" customWidth="1"/>
    <col min="4" max="4" width="12.85546875" bestFit="1" customWidth="1"/>
    <col min="5" max="5" width="10.28515625" bestFit="1" customWidth="1"/>
    <col min="6" max="6" width="9.5703125" bestFit="1" customWidth="1"/>
    <col min="7" max="7" width="10.28515625" bestFit="1" customWidth="1"/>
    <col min="8" max="8" width="10.7109375" customWidth="1"/>
    <col min="9" max="9" width="7.140625" bestFit="1" customWidth="1"/>
    <col min="10" max="13" width="7.7109375" customWidth="1"/>
    <col min="15" max="15" width="9.5703125" bestFit="1" customWidth="1"/>
    <col min="16" max="16" width="7.5703125" bestFit="1" customWidth="1"/>
    <col min="17" max="17" width="7.5703125" customWidth="1"/>
    <col min="18" max="18" width="6.7109375" customWidth="1"/>
    <col min="19" max="19" width="8" bestFit="1" customWidth="1"/>
    <col min="20" max="22" width="7.7109375" customWidth="1"/>
    <col min="23" max="24" width="9.28515625" bestFit="1" customWidth="1"/>
    <col min="25" max="25" width="6.7109375" customWidth="1"/>
    <col min="26" max="28" width="8" bestFit="1" customWidth="1"/>
    <col min="31" max="31" width="10.7109375" customWidth="1"/>
  </cols>
  <sheetData>
    <row r="1" spans="2:29" ht="18.75" x14ac:dyDescent="0.3">
      <c r="B1" s="151" t="s">
        <v>216</v>
      </c>
    </row>
    <row r="2" spans="2:29" ht="31.5" x14ac:dyDescent="0.35">
      <c r="B2" t="s">
        <v>228</v>
      </c>
      <c r="I2" s="70">
        <v>0.02</v>
      </c>
      <c r="K2" s="226" t="s">
        <v>124</v>
      </c>
      <c r="L2" s="226"/>
      <c r="M2" s="226"/>
      <c r="N2" s="142" t="s">
        <v>105</v>
      </c>
      <c r="O2" s="142" t="s">
        <v>125</v>
      </c>
      <c r="P2" s="142" t="s">
        <v>126</v>
      </c>
      <c r="Q2" s="160" t="s">
        <v>217</v>
      </c>
      <c r="R2" s="142" t="s">
        <v>128</v>
      </c>
      <c r="S2" s="142" t="s">
        <v>52</v>
      </c>
      <c r="T2" s="142" t="s">
        <v>214</v>
      </c>
      <c r="U2" s="142" t="s">
        <v>215</v>
      </c>
      <c r="V2" s="142" t="s">
        <v>131</v>
      </c>
      <c r="W2" s="19" t="s">
        <v>57</v>
      </c>
      <c r="X2" s="7" t="s">
        <v>132</v>
      </c>
      <c r="Y2" s="142" t="s">
        <v>133</v>
      </c>
      <c r="Z2" s="142" t="s">
        <v>206</v>
      </c>
      <c r="AA2" s="142" t="s">
        <v>134</v>
      </c>
      <c r="AB2" s="142" t="s">
        <v>135</v>
      </c>
    </row>
    <row r="3" spans="2:29" x14ac:dyDescent="0.25">
      <c r="B3" s="215" t="s">
        <v>229</v>
      </c>
      <c r="C3" s="215"/>
      <c r="D3" s="215"/>
      <c r="E3" s="215"/>
      <c r="F3" s="215"/>
      <c r="G3" s="215"/>
      <c r="H3" s="215"/>
      <c r="I3" s="227">
        <v>0.02</v>
      </c>
      <c r="K3" s="83"/>
      <c r="L3">
        <v>0</v>
      </c>
      <c r="M3">
        <f>'Mkt Val with BOP and required r'!B16</f>
        <v>2014</v>
      </c>
      <c r="N3">
        <f>'Mkt Val with BOP and required r'!C16</f>
        <v>31.544</v>
      </c>
      <c r="O3" s="156">
        <f>'Mkt Val with BOP and required r'!D16</f>
        <v>253.64000000000001</v>
      </c>
      <c r="P3" s="156">
        <f>'Mkt Val with BOP and required r'!E16</f>
        <v>211.46</v>
      </c>
      <c r="Q3" s="156">
        <f>'Mkt Val with BOP and required r'!F16</f>
        <v>29.64</v>
      </c>
      <c r="R3" s="156">
        <f>'Mkt Val with BOP and required r'!G16</f>
        <v>3.89</v>
      </c>
      <c r="S3" s="156">
        <f>'Mkt Val with BOP and required r'!H16</f>
        <v>8.6500000000000057</v>
      </c>
      <c r="T3" s="156">
        <f>'Mkt Val with BOP and required r'!I16</f>
        <v>4.3600000000000003</v>
      </c>
      <c r="U3" s="156">
        <f>'Mkt Val with BOP and required r'!J16</f>
        <v>109.8425</v>
      </c>
      <c r="V3" s="156">
        <f>'Mkt Val with BOP and required r'!K16</f>
        <v>5.7090000000000032</v>
      </c>
      <c r="W3" s="156">
        <f>'Mkt Val with BOP and required r'!L16</f>
        <v>62.912500000000009</v>
      </c>
      <c r="X3" s="172">
        <f>'Mkt Val with BOP and required r'!M16</f>
        <v>46.93</v>
      </c>
      <c r="Y3" s="156">
        <f>'Mkt Val with BOP and required r'!N16</f>
        <v>-0.80349999999999966</v>
      </c>
      <c r="Z3" s="162">
        <f>'Mkt Val with BOP and required r'!O27</f>
        <v>1.4824000000000002</v>
      </c>
      <c r="AA3" s="187">
        <f>'Mkt Val with BOP and required r'!O16</f>
        <v>5.1974417916562377E-2</v>
      </c>
      <c r="AB3" s="156">
        <f>'Mkt Val with BOP and required r'!P16</f>
        <v>-7.0290833966816084</v>
      </c>
    </row>
    <row r="4" spans="2:29" x14ac:dyDescent="0.25">
      <c r="B4" s="215"/>
      <c r="C4" s="215"/>
      <c r="D4" s="215"/>
      <c r="E4" s="215"/>
      <c r="F4" s="215"/>
      <c r="G4" s="215"/>
      <c r="H4" s="215"/>
      <c r="I4" s="227"/>
      <c r="L4">
        <f>L3+1</f>
        <v>1</v>
      </c>
      <c r="M4">
        <f>'Mkt Val with BOP and required r'!B17</f>
        <v>2015</v>
      </c>
      <c r="N4" s="32">
        <f>'Mkt Val with BOP and required r'!C17</f>
        <v>34.887664000000001</v>
      </c>
      <c r="O4" s="32">
        <f>'Mkt Val with BOP and required r'!D17</f>
        <v>280.52584000000002</v>
      </c>
      <c r="P4" s="32">
        <f>'Mkt Val with BOP and required r'!E17</f>
        <v>226.85851719999999</v>
      </c>
      <c r="Q4" s="32">
        <f>'Mkt Val with BOP and required r'!F17</f>
        <v>31.798384800000001</v>
      </c>
      <c r="R4" s="32">
        <f>'Mkt Val with BOP and required r'!G17</f>
        <v>4.3023400000000001</v>
      </c>
      <c r="S4" s="32">
        <f>'Mkt Val with BOP and required r'!H17</f>
        <v>17.56659800000002</v>
      </c>
      <c r="T4" s="32">
        <f>'Mkt Val with BOP and required r'!I17</f>
        <v>1.8927110183864921</v>
      </c>
      <c r="U4" s="32">
        <f>'Mkt Val with BOP and required r'!J17</f>
        <v>121.485805</v>
      </c>
      <c r="V4" s="32">
        <f>'Mkt Val with BOP and required r'!K17</f>
        <v>11.593954680000012</v>
      </c>
      <c r="W4" s="32">
        <f>'Mkt Val with BOP and required r'!L17</f>
        <v>69.581225000000018</v>
      </c>
      <c r="X4" s="173">
        <f>'Mkt Val with BOP and required r'!M17</f>
        <v>51.904580000000003</v>
      </c>
      <c r="Y4" s="32">
        <f>'Mkt Val with BOP and required r'!N17</f>
        <v>-4.9350320000002057E-2</v>
      </c>
      <c r="Z4" s="78">
        <f>'Mkt Val with BOP and required r'!O28</f>
        <v>0.64352174625140734</v>
      </c>
      <c r="AA4" s="3">
        <f>'Mkt Val with BOP and required r'!O17</f>
        <v>9.5434645059972331E-2</v>
      </c>
      <c r="AB4" s="32">
        <f>'Mkt Val with BOP and required r'!P17</f>
        <v>-2.6983199999999887</v>
      </c>
    </row>
    <row r="5" spans="2:29" x14ac:dyDescent="0.25">
      <c r="B5" s="215" t="s">
        <v>230</v>
      </c>
      <c r="C5" s="215"/>
      <c r="D5" s="215"/>
      <c r="E5" s="215"/>
      <c r="F5" s="215"/>
      <c r="G5" s="215"/>
      <c r="H5" s="215"/>
      <c r="I5" s="227">
        <v>0.01</v>
      </c>
      <c r="L5">
        <f t="shared" ref="L5:L8" si="0">L4+1</f>
        <v>2</v>
      </c>
      <c r="M5">
        <f>'Mkt Val with BOP and required r'!B18</f>
        <v>2016</v>
      </c>
      <c r="N5" s="32">
        <f>'Mkt Val with BOP and required r'!C18</f>
        <v>38.236879744000007</v>
      </c>
      <c r="O5" s="32">
        <f>'Mkt Val with BOP and required r'!D18</f>
        <v>307.45632064000006</v>
      </c>
      <c r="P5" s="32">
        <f>'Mkt Val with BOP and required r'!E18</f>
        <v>248.63693485120007</v>
      </c>
      <c r="Q5" s="32">
        <f>'Mkt Val with BOP and required r'!F18</f>
        <v>34.851029740800001</v>
      </c>
      <c r="R5" s="32">
        <f>'Mkt Val with BOP and required r'!G18</f>
        <v>4.7153646400000007</v>
      </c>
      <c r="S5" s="32">
        <f>'Mkt Val with BOP and required r'!H18</f>
        <v>19.252991407999989</v>
      </c>
      <c r="T5" s="32">
        <f>'Mkt Val with BOP and required r'!I18</f>
        <v>2.0933383863354602</v>
      </c>
      <c r="U5" s="32">
        <f>'Mkt Val with BOP and required r'!J18</f>
        <v>133.14844228000001</v>
      </c>
      <c r="V5" s="32">
        <f>'Mkt Val with BOP and required r'!K18</f>
        <v>12.706974329279991</v>
      </c>
      <c r="W5" s="32">
        <f>'Mkt Val with BOP and required r'!L18</f>
        <v>76.261022600000018</v>
      </c>
      <c r="X5" s="173">
        <f>'Mkt Val with BOP and required r'!M18</f>
        <v>56.887419680000008</v>
      </c>
      <c r="Y5" s="32">
        <f>'Mkt Val with BOP and required r'!N18</f>
        <v>1.0443370492799851</v>
      </c>
      <c r="Z5" s="78">
        <f>'Mkt Val with BOP and required r'!O29</f>
        <v>0.71173505135405657</v>
      </c>
      <c r="AA5" s="3">
        <f>'Mkt Val with BOP and required r'!O18</f>
        <v>9.5434645059972151E-2</v>
      </c>
      <c r="AB5" s="32">
        <f>'Mkt Val with BOP and required r'!P18</f>
        <v>-2.9843419200000096</v>
      </c>
    </row>
    <row r="6" spans="2:29" x14ac:dyDescent="0.25">
      <c r="B6" s="215"/>
      <c r="C6" s="215"/>
      <c r="D6" s="215"/>
      <c r="E6" s="215"/>
      <c r="F6" s="215"/>
      <c r="G6" s="215"/>
      <c r="H6" s="215"/>
      <c r="I6" s="227"/>
      <c r="L6">
        <f t="shared" si="0"/>
        <v>3</v>
      </c>
      <c r="M6">
        <f>'Mkt Val with BOP and required r'!B19</f>
        <v>2017</v>
      </c>
      <c r="N6" s="32">
        <f>'Mkt Val with BOP and required r'!C19</f>
        <v>41.525251401984008</v>
      </c>
      <c r="O6" s="32">
        <f>'Mkt Val with BOP and required r'!D19</f>
        <v>333.89756421504006</v>
      </c>
      <c r="P6" s="32">
        <f>'Mkt Val with BOP and required r'!E19</f>
        <v>270.01971124840321</v>
      </c>
      <c r="Q6" s="32">
        <f>'Mkt Val with BOP and required r'!F19</f>
        <v>37.848218298508804</v>
      </c>
      <c r="R6" s="32">
        <f>'Mkt Val with BOP and required r'!G19</f>
        <v>5.1208859990400004</v>
      </c>
      <c r="S6" s="32">
        <f>'Mkt Val with BOP and required r'!H19</f>
        <v>20.908748669088048</v>
      </c>
      <c r="T6" s="32">
        <f>'Mkt Val with BOP and required r'!I19</f>
        <v>2.2942988714236647</v>
      </c>
      <c r="U6" s="32">
        <f>'Mkt Val with BOP and required r'!J19</f>
        <v>144.59920831608002</v>
      </c>
      <c r="V6" s="32">
        <f>'Mkt Val with BOP and required r'!K19</f>
        <v>13.79977412159811</v>
      </c>
      <c r="W6" s="32">
        <f>'Mkt Val with BOP and required r'!L19</f>
        <v>82.819470543600019</v>
      </c>
      <c r="X6" s="173">
        <f>'Mkt Val with BOP and required r'!M19</f>
        <v>61.779737772480011</v>
      </c>
      <c r="Y6" s="32">
        <f>'Mkt Val with BOP and required r'!N19</f>
        <v>2.3490080855181059</v>
      </c>
      <c r="Z6" s="78">
        <f>'Mkt Val with BOP and required r'!O30</f>
        <v>0.78006161628404602</v>
      </c>
      <c r="AA6" s="3">
        <f>'Mkt Val with BOP and required r'!O19</f>
        <v>9.5434645059972428E-2</v>
      </c>
      <c r="AB6" s="32">
        <f>'Mkt Val with BOP and required r'!P19</f>
        <v>-3.2708387443199736</v>
      </c>
    </row>
    <row r="7" spans="2:29" x14ac:dyDescent="0.25">
      <c r="B7" s="215" t="s">
        <v>231</v>
      </c>
      <c r="C7" s="215"/>
      <c r="D7" s="215"/>
      <c r="E7" s="215"/>
      <c r="F7" s="215"/>
      <c r="G7" s="215"/>
      <c r="H7" s="215"/>
      <c r="I7" s="216">
        <v>2</v>
      </c>
      <c r="L7">
        <f t="shared" si="0"/>
        <v>4</v>
      </c>
      <c r="M7">
        <f>'Mkt Val with BOP and required r'!B20</f>
        <v>2018</v>
      </c>
      <c r="N7" s="32">
        <f>'Mkt Val with BOP and required r'!C20</f>
        <v>45.096423022554632</v>
      </c>
      <c r="O7" s="32">
        <f>'Mkt Val with BOP and required r'!D20</f>
        <v>362.61275473753352</v>
      </c>
      <c r="P7" s="32">
        <f>'Mkt Val with BOP and required r'!E20</f>
        <v>293.24140641576588</v>
      </c>
      <c r="Q7" s="32">
        <f>'Mkt Val with BOP and required r'!F20</f>
        <v>41.103165072180559</v>
      </c>
      <c r="R7" s="32">
        <f>'Mkt Val with BOP and required r'!G20</f>
        <v>5.5612821949574407</v>
      </c>
      <c r="S7" s="32">
        <f>'Mkt Val with BOP and required r'!H20</f>
        <v>22.70690105462964</v>
      </c>
      <c r="T7" s="32">
        <f>'Mkt Val with BOP and required r'!I20</f>
        <v>2.4916085743661003</v>
      </c>
      <c r="U7" s="32">
        <f>'Mkt Val with BOP and required r'!J20</f>
        <v>157.0347402312629</v>
      </c>
      <c r="V7" s="32">
        <f>'Mkt Val with BOP and required r'!K20</f>
        <v>14.98655469605556</v>
      </c>
      <c r="W7" s="32">
        <f>'Mkt Val with BOP and required r'!L20</f>
        <v>89.941945010349627</v>
      </c>
      <c r="X7" s="173">
        <f>'Mkt Val with BOP and required r'!M20</f>
        <v>67.092795220913303</v>
      </c>
      <c r="Y7" s="32">
        <f>'Mkt Val with BOP and required r'!N20</f>
        <v>2.5510227808726587</v>
      </c>
      <c r="Z7" s="78">
        <f>'Mkt Val with BOP and required r'!O31</f>
        <v>0.84714691528447417</v>
      </c>
      <c r="AA7" s="3">
        <f>'Mkt Val with BOP and required r'!O20</f>
        <v>9.5434645059972512E-2</v>
      </c>
      <c r="AB7" s="32">
        <f>'Mkt Val with BOP and required r'!P20</f>
        <v>-3.5521308763314798</v>
      </c>
    </row>
    <row r="8" spans="2:29" x14ac:dyDescent="0.25">
      <c r="B8" s="215"/>
      <c r="C8" s="215"/>
      <c r="D8" s="215"/>
      <c r="E8" s="215"/>
      <c r="F8" s="215"/>
      <c r="G8" s="215"/>
      <c r="H8" s="215"/>
      <c r="I8" s="216"/>
      <c r="K8">
        <v>0</v>
      </c>
      <c r="L8">
        <f t="shared" si="0"/>
        <v>5</v>
      </c>
      <c r="M8">
        <f>'Mkt Val with BOP and required r'!B21</f>
        <v>2019</v>
      </c>
      <c r="N8" s="32">
        <f>'Mkt Val with BOP and required r'!C21</f>
        <v>48.974715402494333</v>
      </c>
      <c r="O8" s="32">
        <f>'Mkt Val with BOP and required r'!D21</f>
        <v>393.79745164496143</v>
      </c>
      <c r="P8" s="32">
        <f>'Mkt Val with BOP and required r'!E21</f>
        <v>318.46016736752182</v>
      </c>
      <c r="Q8" s="32">
        <f>'Mkt Val with BOP and required r'!F21</f>
        <v>44.638037268388096</v>
      </c>
      <c r="R8" s="32">
        <f>'Mkt Val with BOP and required r'!G21</f>
        <v>6.0395524637237807</v>
      </c>
      <c r="S8" s="32">
        <f>'Mkt Val with BOP and required r'!H21</f>
        <v>24.659694545327731</v>
      </c>
      <c r="T8" s="32">
        <f>'Mkt Val with BOP and required r'!I21</f>
        <v>2.7058869117615849</v>
      </c>
      <c r="U8" s="32">
        <f>'Mkt Val with BOP and required r'!J21</f>
        <v>170.53972789115153</v>
      </c>
      <c r="V8" s="32">
        <f>'Mkt Val with BOP and required r'!K21</f>
        <v>16.275398399916302</v>
      </c>
      <c r="W8" s="32">
        <f>'Mkt Val with BOP and required r'!L21</f>
        <v>97.676952281239707</v>
      </c>
      <c r="X8" s="173">
        <f>'Mkt Val with BOP and required r'!M21</f>
        <v>72.86277560991185</v>
      </c>
      <c r="Y8" s="32">
        <f>'Mkt Val with BOP and required r'!N21</f>
        <v>2.7704107400276747</v>
      </c>
      <c r="Z8" s="78">
        <f>'Mkt Val with BOP and required r'!O32</f>
        <v>0.92000154999893891</v>
      </c>
      <c r="AA8" s="3">
        <f>'Mkt Val with BOP and required r'!O21</f>
        <v>9.543464505997229E-2</v>
      </c>
      <c r="AB8" s="32">
        <f>'Mkt Val with BOP and required r'!P21</f>
        <v>-3.8576141316960215</v>
      </c>
    </row>
    <row r="9" spans="2:29" x14ac:dyDescent="0.25">
      <c r="K9">
        <v>1</v>
      </c>
      <c r="L9">
        <f>L8+1</f>
        <v>6</v>
      </c>
      <c r="M9">
        <f>'Mkt Val with BOP and required r'!B22</f>
        <v>2020</v>
      </c>
      <c r="N9" s="32">
        <f>'Mkt Val with BOP and required r'!C22</f>
        <v>50.443956864569152</v>
      </c>
      <c r="O9" s="32">
        <f>'Mkt Val with BOP and required r'!D22</f>
        <v>405.61137519431026</v>
      </c>
      <c r="P9" s="32">
        <f>'Mkt Val with BOP and required r'!E22</f>
        <v>328.01397238854747</v>
      </c>
      <c r="Q9" s="32">
        <f>'Mkt Val with BOP and required r'!F22</f>
        <v>45.977178386439732</v>
      </c>
      <c r="R9" s="32">
        <f>'Mkt Val with BOP and required r'!G22</f>
        <v>6.2207390376354947</v>
      </c>
      <c r="S9" s="32">
        <f>'Mkt Val with BOP and required r'!H22</f>
        <v>25.399485381687555</v>
      </c>
      <c r="T9" s="32">
        <f>'Mkt Val with BOP and required r'!I22</f>
        <v>2.938593186173081</v>
      </c>
      <c r="U9" s="32">
        <f>'Mkt Val with BOP and required r'!J22</f>
        <v>175.65591972788604</v>
      </c>
      <c r="V9" s="32">
        <f>'Mkt Val with BOP and required r'!K22</f>
        <v>16.763660351913785</v>
      </c>
      <c r="W9" s="32">
        <f>'Mkt Val with BOP and required r'!L22</f>
        <v>100.6072608496769</v>
      </c>
      <c r="X9" s="173">
        <f>'Mkt Val with BOP and required r'!M22</f>
        <v>75.04865887820921</v>
      </c>
      <c r="Y9" s="32">
        <f>'Mkt Val with BOP and required r'!N22</f>
        <v>11.647468515179229</v>
      </c>
      <c r="Z9" s="78">
        <f>'Mkt Val with BOP and required r'!O33</f>
        <v>0.99912168329884765</v>
      </c>
      <c r="AA9" s="3">
        <f>'Mkt Val with BOP and required r'!O22</f>
        <v>9.5434645059972262E-2</v>
      </c>
      <c r="AB9" s="32">
        <f>'Mkt Val with BOP and required r'!P22</f>
        <v>-4.1893689470218849</v>
      </c>
    </row>
    <row r="10" spans="2:29" x14ac:dyDescent="0.25">
      <c r="B10" t="s">
        <v>207</v>
      </c>
      <c r="I10" s="83">
        <f>'Fin Stmt'!K72</f>
        <v>0.12</v>
      </c>
      <c r="Z10" s="56"/>
    </row>
    <row r="11" spans="2:29" x14ac:dyDescent="0.25">
      <c r="B11" t="s">
        <v>208</v>
      </c>
      <c r="I11" s="70">
        <f>'Fin Stmt'!K70</f>
        <v>0.03</v>
      </c>
      <c r="K11" s="137"/>
      <c r="L11" s="83">
        <f>$C$19</f>
        <v>0.05</v>
      </c>
      <c r="M11">
        <v>2020</v>
      </c>
      <c r="N11" s="32">
        <f>U11*'Mkt Val with BOP and required r'!$D$10</f>
        <v>51.423451172619053</v>
      </c>
      <c r="O11" s="32">
        <f>'Mkt Val with BOP and required r'!$D$21*(1+C$19)</f>
        <v>413.48732422720951</v>
      </c>
      <c r="P11" s="32">
        <f>($O11*'Mkt Val with BOP and required r'!$E$13)*(1-'Mkt Val with BOP and required r'!$E$14)</f>
        <v>334.38317573589791</v>
      </c>
      <c r="Q11" s="32">
        <f>($O11*'Mkt Val with BOP and required r'!$F$13)*(1-'Mkt Val with BOP and required r'!$F$14)</f>
        <v>46.869939131807499</v>
      </c>
      <c r="R11" s="32">
        <f>($O11*'Mkt Val with BOP and required r'!$G$13)*(1-'Mkt Val with BOP and required r'!$G$14)</f>
        <v>6.3415300869099704</v>
      </c>
      <c r="S11" s="32">
        <f>O11-P11-Q11-R11</f>
        <v>25.892679272594137</v>
      </c>
      <c r="T11" s="32">
        <f>'Mkt Val with BOP and required r'!$C$21*('Mkt Val with BOP and required r'!$I$13-'Mkt Val with BOP and required r'!$I$14)</f>
        <v>2.938593186173081</v>
      </c>
      <c r="U11" s="32">
        <f>O11/'Mkt Val with BOP and required r'!$I$10</f>
        <v>179.06671428570911</v>
      </c>
      <c r="V11" s="32">
        <f>S11*(1-'Fin Stmt'!$P$39)</f>
        <v>17.08916831991213</v>
      </c>
      <c r="W11" s="32">
        <f>'Mkt Val with BOP and required r'!$L$21*(1+C$19)</f>
        <v>102.5607998953017</v>
      </c>
      <c r="X11" s="173">
        <f>'Mkt Val with BOP and required r'!$M$21*(1+C$19)</f>
        <v>76.50591439040744</v>
      </c>
      <c r="Y11" s="32">
        <f>V11+R11-(X11-'Mkt Val with BOP and required r'!$M$21+R11)-(W11-'Mkt Val with BOP and required r'!$L$21)</f>
        <v>8.5621819253545475</v>
      </c>
      <c r="Z11" s="78">
        <f>'Mkt Val with BOP and required r'!$O$33</f>
        <v>0.99912168329884765</v>
      </c>
      <c r="AA11" s="3">
        <f>V11/U11</f>
        <v>9.5434645059972359E-2</v>
      </c>
      <c r="AB11" s="3">
        <f>U11*(AA11-$I$10)</f>
        <v>-4.3988373943729613</v>
      </c>
    </row>
    <row r="12" spans="2:29" x14ac:dyDescent="0.25">
      <c r="G12" s="70"/>
      <c r="K12" s="137"/>
      <c r="L12" s="83">
        <f>$D$19</f>
        <v>0.04</v>
      </c>
      <c r="M12">
        <v>2020</v>
      </c>
      <c r="N12" s="32">
        <f>U12*'Mkt Val with BOP and required r'!$D$10</f>
        <v>50.933704018594106</v>
      </c>
      <c r="O12" s="32">
        <f>'Mkt Val with BOP and required r'!$D$21*(1+D$19)</f>
        <v>409.54934971075988</v>
      </c>
      <c r="P12" s="32">
        <f>($O12*'Mkt Val with BOP and required r'!$E$13)*(1-'Mkt Val with BOP and required r'!$E$14)</f>
        <v>331.19857406222269</v>
      </c>
      <c r="Q12" s="32">
        <f>($O12*'Mkt Val with BOP and required r'!$F$13)*(1-'Mkt Val with BOP and required r'!$F$14)</f>
        <v>46.423558759123615</v>
      </c>
      <c r="R12" s="32">
        <f>($O12*'Mkt Val with BOP and required r'!$G$13)*(1-'Mkt Val with BOP and required r'!$G$14)</f>
        <v>6.2811345622727321</v>
      </c>
      <c r="S12" s="32">
        <f>O12-P12-Q12-R12</f>
        <v>25.646082327140846</v>
      </c>
      <c r="T12" s="32">
        <f>'Mkt Val with BOP and required r'!$C$21*('Mkt Val with BOP and required r'!$I$13-'Mkt Val with BOP and required r'!$I$14)</f>
        <v>2.938593186173081</v>
      </c>
      <c r="U12" s="32">
        <f>O12/'Mkt Val with BOP and required r'!$I$10</f>
        <v>177.36131700679758</v>
      </c>
      <c r="V12" s="32">
        <f>S12*(1-'Fin Stmt'!$P$39)</f>
        <v>16.926414335912956</v>
      </c>
      <c r="W12" s="32">
        <f>'Mkt Val with BOP and required r'!$L$21*(1+E$19)</f>
        <v>100.6072608496769</v>
      </c>
      <c r="X12" s="173">
        <f>'Mkt Val with BOP and required r'!$M$21*(1+D19)</f>
        <v>75.777286634308325</v>
      </c>
      <c r="Y12" s="32">
        <f>V12+R12-(X12-'Mkt Val with BOP and required r'!$M$21+R12)-(W12-'Mkt Val with BOP and required r'!$L$21)</f>
        <v>11.081594743079282</v>
      </c>
      <c r="Z12" s="78">
        <f>'Mkt Val with BOP and required r'!$O$33</f>
        <v>0.99912168329884765</v>
      </c>
      <c r="AA12" s="3">
        <f>V12/U12</f>
        <v>9.5434645059972303E-2</v>
      </c>
      <c r="AB12" s="3">
        <f>'Mkt Val with BOP and required r'!$J$22*('Val Matrix - Investor r'!AA12-'Val Matrix - Investor r'!$I$10)</f>
        <v>-4.3150500154325329</v>
      </c>
    </row>
    <row r="13" spans="2:29" x14ac:dyDescent="0.25">
      <c r="G13" s="70"/>
      <c r="K13" s="137"/>
      <c r="L13" s="83">
        <f>$E$19</f>
        <v>0.03</v>
      </c>
      <c r="M13">
        <v>2020</v>
      </c>
      <c r="N13" s="32">
        <f>U13*'Mkt Val with BOP and required r'!$D$10</f>
        <v>50.443956864569152</v>
      </c>
      <c r="O13" s="32">
        <f>'Mkt Val with BOP and required r'!$D$21*(1+E$19)</f>
        <v>405.61137519431026</v>
      </c>
      <c r="P13" s="32">
        <f>($O13*'Mkt Val with BOP and required r'!$E$13)*(1-'Mkt Val with BOP and required r'!$E$14)</f>
        <v>328.01397238854747</v>
      </c>
      <c r="Q13" s="32">
        <f>($O13*'Mkt Val with BOP and required r'!$F$13)*(1-'Mkt Val with BOP and required r'!$F$14)</f>
        <v>45.977178386439732</v>
      </c>
      <c r="R13" s="32">
        <f>($O13*'Mkt Val with BOP and required r'!$G$13)*(1-'Mkt Val with BOP and required r'!$G$14)</f>
        <v>6.2207390376354947</v>
      </c>
      <c r="S13" s="32">
        <f>O13-P13-Q13-R13</f>
        <v>25.399485381687555</v>
      </c>
      <c r="T13" s="32">
        <f>'Mkt Val with BOP and required r'!$C$21*('Mkt Val with BOP and required r'!$I$13-'Mkt Val with BOP and required r'!$I$14)</f>
        <v>2.938593186173081</v>
      </c>
      <c r="U13" s="32">
        <f>O13/'Mkt Val with BOP and required r'!$I$10</f>
        <v>175.65591972788604</v>
      </c>
      <c r="V13" s="32">
        <f>S13*(1-'Fin Stmt'!$P$39)</f>
        <v>16.763660351913785</v>
      </c>
      <c r="W13" s="32">
        <f>'Mkt Val with BOP and required r'!$L$21*(1+E$19)</f>
        <v>100.6072608496769</v>
      </c>
      <c r="X13" s="173">
        <f>'Mkt Val with BOP and required r'!$M$21*(1+E19)</f>
        <v>75.04865887820921</v>
      </c>
      <c r="Y13" s="32">
        <f>V13+R13-(X13-'Mkt Val with BOP and required r'!$M$21+R13)-(W13-'Mkt Val with BOP and required r'!$L$21)</f>
        <v>11.647468515179229</v>
      </c>
      <c r="Z13" s="78">
        <f>'Mkt Val with BOP and required r'!$O$33</f>
        <v>0.99912168329884765</v>
      </c>
      <c r="AA13" s="3">
        <f>V13/U13</f>
        <v>9.5434645059972262E-2</v>
      </c>
      <c r="AB13" s="3">
        <f>'Mkt Val with BOP and required r'!$J$23*('Val Matrix - Investor r'!AA13-'Val Matrix - Investor r'!$I$10)</f>
        <v>0</v>
      </c>
    </row>
    <row r="14" spans="2:29" x14ac:dyDescent="0.25">
      <c r="G14" s="70"/>
      <c r="K14" s="137"/>
      <c r="L14" s="83">
        <f>$F$19</f>
        <v>1.9999999999999997E-2</v>
      </c>
      <c r="M14">
        <v>2020</v>
      </c>
      <c r="N14" s="32">
        <f>U14*'Mkt Val with BOP and required r'!$D$10</f>
        <v>49.95420971054422</v>
      </c>
      <c r="O14" s="32">
        <f>'Mkt Val with BOP and required r'!$D$21*(1+F$19)</f>
        <v>401.67340067786068</v>
      </c>
      <c r="P14" s="32">
        <f>($O14*'Mkt Val with BOP and required r'!$E$13)*(1-'Mkt Val with BOP and required r'!$E$14)</f>
        <v>324.82937071487231</v>
      </c>
      <c r="Q14" s="32">
        <f>($O14*'Mkt Val with BOP and required r'!$F$13)*(1-'Mkt Val with BOP and required r'!$F$14)</f>
        <v>45.530798013755863</v>
      </c>
      <c r="R14" s="32">
        <f>($O14*'Mkt Val with BOP and required r'!$G$13)*(1-'Mkt Val with BOP and required r'!$G$14)</f>
        <v>6.1603435129982573</v>
      </c>
      <c r="S14" s="32">
        <f>O14-P14-Q14-R14</f>
        <v>25.152888436234253</v>
      </c>
      <c r="T14" s="32">
        <f>'Mkt Val with BOP and required r'!$C$21*('Mkt Val with BOP and required r'!$I$13-'Mkt Val with BOP and required r'!$I$14)</f>
        <v>2.938593186173081</v>
      </c>
      <c r="U14" s="32">
        <f>O14/'Mkt Val with BOP and required r'!$I$10</f>
        <v>173.95052244897457</v>
      </c>
      <c r="V14" s="32">
        <f>S14*(1-'Fin Stmt'!$P$39)</f>
        <v>16.600906367914604</v>
      </c>
      <c r="W14" s="32">
        <f>'Mkt Val with BOP and required r'!$L$21*(1+F$19)</f>
        <v>99.630491326864501</v>
      </c>
      <c r="X14" s="173">
        <f>'Mkt Val with BOP and required r'!$M$21*(1+F19)</f>
        <v>74.320031122110095</v>
      </c>
      <c r="Y14" s="32">
        <f>V14+R14-(X14-'Mkt Val with BOP and required r'!$M$21+R14)-(W14-'Mkt Val with BOP and required r'!$L$21)</f>
        <v>13.190111810091565</v>
      </c>
      <c r="Z14" s="78">
        <f>'Mkt Val with BOP and required r'!$O$33</f>
        <v>0.99912168329884765</v>
      </c>
      <c r="AA14" s="3">
        <f>V14/U14</f>
        <v>9.5434645059972137E-2</v>
      </c>
      <c r="AB14" s="3">
        <f>'Mkt Val with BOP and required r'!$J$21*('Val Matrix - Investor r'!AA14-'Val Matrix - Investor r'!$I$10)</f>
        <v>-4.1893689470219062</v>
      </c>
    </row>
    <row r="15" spans="2:29" x14ac:dyDescent="0.25">
      <c r="G15" s="70"/>
      <c r="K15" s="137"/>
      <c r="L15" s="83">
        <f>$G$19</f>
        <v>9.9999999999999967E-3</v>
      </c>
      <c r="M15">
        <v>2020</v>
      </c>
      <c r="N15" s="32">
        <f>U15*'Mkt Val with BOP and required r'!$D$10</f>
        <v>49.464462556519273</v>
      </c>
      <c r="O15" s="32">
        <f>'Mkt Val with BOP and required r'!$D$21*(1+G$19)</f>
        <v>397.73542616141106</v>
      </c>
      <c r="P15" s="32">
        <f>($O15*'Mkt Val with BOP and required r'!$E$13)*(1-'Mkt Val with BOP and required r'!$E$14)</f>
        <v>321.64476904119709</v>
      </c>
      <c r="Q15" s="32">
        <f>($O15*'Mkt Val with BOP and required r'!$F$13)*(1-'Mkt Val with BOP and required r'!$F$14)</f>
        <v>45.084417641071973</v>
      </c>
      <c r="R15" s="32">
        <f>($O15*'Mkt Val with BOP and required r'!$G$13)*(1-'Mkt Val with BOP and required r'!$G$14)</f>
        <v>6.099947988361019</v>
      </c>
      <c r="S15" s="32">
        <f>O15-P15-Q15-R15</f>
        <v>24.906291490780969</v>
      </c>
      <c r="T15" s="32">
        <f>'Mkt Val with BOP and required r'!$C$21*('Mkt Val with BOP and required r'!$I$13-'Mkt Val with BOP and required r'!$I$14)</f>
        <v>2.938593186173081</v>
      </c>
      <c r="U15" s="32">
        <f>O15/'Mkt Val with BOP and required r'!$I$10</f>
        <v>172.24512517006303</v>
      </c>
      <c r="V15" s="32">
        <f>S15*(1-'Fin Stmt'!$P$39)</f>
        <v>16.438152383915437</v>
      </c>
      <c r="W15" s="32">
        <f>'Mkt Val with BOP and required r'!$L$21*(1+G$19)</f>
        <v>98.653721804052111</v>
      </c>
      <c r="X15" s="173">
        <f>'Mkt Val with BOP and required r'!$M$21*(1+G19)</f>
        <v>73.591403366010965</v>
      </c>
      <c r="Y15" s="32">
        <f>V15+R15-(X15-'Mkt Val with BOP and required r'!$M$21+R15)-(W15-'Mkt Val with BOP and required r'!$L$21)</f>
        <v>14.732755105003918</v>
      </c>
      <c r="Z15" s="78">
        <f>'Mkt Val with BOP and required r'!$O$33</f>
        <v>0.99912168329884765</v>
      </c>
      <c r="AA15" s="3">
        <f>V15/U15</f>
        <v>9.5434645059972123E-2</v>
      </c>
      <c r="AB15" s="3">
        <f>'Mkt Val with BOP and required r'!$J$21*('Val Matrix - Investor r'!AA15-'Val Matrix - Investor r'!$I$10)</f>
        <v>-4.189368947021908</v>
      </c>
    </row>
    <row r="16" spans="2:29" x14ac:dyDescent="0.25">
      <c r="G16" s="70"/>
      <c r="K16" s="137"/>
      <c r="L16" s="83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78"/>
      <c r="AB16" s="3"/>
      <c r="AC16" s="3"/>
    </row>
    <row r="17" spans="1:33" ht="24.95" customHeight="1" x14ac:dyDescent="0.25">
      <c r="B17" s="220" t="s">
        <v>220</v>
      </c>
      <c r="C17" s="220"/>
      <c r="D17" s="220"/>
      <c r="E17" s="220"/>
      <c r="F17" s="220"/>
      <c r="G17" s="220"/>
      <c r="H17" s="166"/>
      <c r="I17" s="166"/>
      <c r="J17" s="166"/>
      <c r="K17" s="221" t="s">
        <v>221</v>
      </c>
      <c r="L17" s="221"/>
      <c r="M17" s="221"/>
      <c r="N17" s="221"/>
      <c r="O17" s="221"/>
      <c r="P17" s="167"/>
      <c r="Q17" s="167"/>
      <c r="R17" s="167"/>
      <c r="S17" s="167"/>
      <c r="T17" s="228" t="s">
        <v>226</v>
      </c>
      <c r="U17" s="228"/>
      <c r="V17" s="228"/>
      <c r="W17" s="228"/>
      <c r="X17" s="228"/>
      <c r="Y17" s="167"/>
      <c r="Z17" s="167"/>
      <c r="AA17" s="168"/>
      <c r="AB17" s="229" t="s">
        <v>222</v>
      </c>
      <c r="AC17" s="229"/>
      <c r="AD17" s="229"/>
      <c r="AE17" s="229"/>
      <c r="AF17" s="229"/>
    </row>
    <row r="18" spans="1:33" ht="15" customHeight="1" x14ac:dyDescent="0.25">
      <c r="B18" s="203" t="s">
        <v>224</v>
      </c>
      <c r="C18" s="203"/>
      <c r="D18" s="203"/>
      <c r="E18" s="203"/>
      <c r="F18" s="203"/>
      <c r="G18" s="203"/>
      <c r="K18" s="206" t="s">
        <v>224</v>
      </c>
      <c r="L18" s="206"/>
      <c r="M18" s="206"/>
      <c r="N18" s="206"/>
      <c r="O18" s="206"/>
      <c r="T18" s="204" t="s">
        <v>224</v>
      </c>
      <c r="U18" s="204"/>
      <c r="V18" s="204"/>
      <c r="W18" s="204"/>
      <c r="X18" s="204"/>
      <c r="AB18" s="201" t="s">
        <v>224</v>
      </c>
      <c r="AC18" s="201"/>
      <c r="AD18" s="201"/>
      <c r="AE18" s="201"/>
      <c r="AF18" s="201"/>
    </row>
    <row r="19" spans="1:33" ht="15" customHeight="1" x14ac:dyDescent="0.25">
      <c r="B19" s="30"/>
      <c r="C19" s="144">
        <f>D19+$I$5</f>
        <v>0.05</v>
      </c>
      <c r="D19" s="144">
        <f>E19+$I$5</f>
        <v>0.04</v>
      </c>
      <c r="E19" s="144">
        <f>$I$11</f>
        <v>0.03</v>
      </c>
      <c r="F19" s="144">
        <f>E19-$I$5</f>
        <v>1.9999999999999997E-2</v>
      </c>
      <c r="G19" s="144">
        <f>F19-$I$5</f>
        <v>9.9999999999999967E-3</v>
      </c>
      <c r="H19" s="222" t="s">
        <v>209</v>
      </c>
      <c r="J19" s="145"/>
      <c r="K19" s="146">
        <f>L19+$I$5</f>
        <v>0.05</v>
      </c>
      <c r="L19" s="146">
        <f>M19+$I$5</f>
        <v>0.04</v>
      </c>
      <c r="M19" s="146">
        <f>$I$11</f>
        <v>0.03</v>
      </c>
      <c r="N19" s="146">
        <f>M19-$I$5</f>
        <v>1.9999999999999997E-2</v>
      </c>
      <c r="O19" s="146">
        <f>N19-$I$5</f>
        <v>9.9999999999999967E-3</v>
      </c>
      <c r="P19" s="230" t="s">
        <v>223</v>
      </c>
      <c r="Q19" s="164"/>
      <c r="T19" s="149">
        <f>U19+$I$5</f>
        <v>0.05</v>
      </c>
      <c r="U19" s="149">
        <f>V19+$I$5</f>
        <v>0.04</v>
      </c>
      <c r="V19" s="149">
        <f>$I$11</f>
        <v>0.03</v>
      </c>
      <c r="W19" s="149">
        <f>V19-$I$5</f>
        <v>1.9999999999999997E-2</v>
      </c>
      <c r="X19" s="149">
        <f>W19-$I$5</f>
        <v>9.9999999999999967E-3</v>
      </c>
      <c r="Y19" s="231" t="s">
        <v>227</v>
      </c>
      <c r="AA19" s="93"/>
      <c r="AB19" s="154">
        <f>AC19+$I$5</f>
        <v>0.05</v>
      </c>
      <c r="AC19" s="154">
        <f>AD19+$I$5</f>
        <v>0.04</v>
      </c>
      <c r="AD19" s="154">
        <f>$I$11</f>
        <v>0.03</v>
      </c>
      <c r="AE19" s="154">
        <f>AD19-$I$5</f>
        <v>1.9999999999999997E-2</v>
      </c>
      <c r="AF19" s="154">
        <f>AE19-$I$5</f>
        <v>9.9999999999999967E-3</v>
      </c>
      <c r="AG19" s="232" t="s">
        <v>225</v>
      </c>
    </row>
    <row r="20" spans="1:33" ht="15" customHeight="1" x14ac:dyDescent="0.25">
      <c r="A20" s="233" t="s">
        <v>210</v>
      </c>
      <c r="B20" s="144">
        <f>B21-$I$2</f>
        <v>7.9999999999999988E-2</v>
      </c>
      <c r="C20" s="143">
        <f>($Y$4/(1+$B20)^$L$4+$Y$5/(1+$B20)^$L$5+$Y$6/(1+$B20)^$L$6+$Y$7/(1+$B20)^$L$7+$Y$8/(1+$B20)^$L$8)+($Y11/($B20-C$19)/(1+$B20)^$L$8)</f>
        <v>200.71751881485147</v>
      </c>
      <c r="D20" s="143">
        <f>($Y$4/(1+$B20)^$L$4+$Y$5/(1+$B20)^$L$5+$Y$6/(1+$B20)^$L$6+$Y$7/(1+$B20)^$L$7+$Y$8/(1+$B20)^$L$8)+($Y$12/($B20-D$19)/(1+$B20)^$L$8)</f>
        <v>195.02362666537093</v>
      </c>
      <c r="E20" s="143">
        <f>($Y$4/(1+$B20)^$L$4+$Y$5/(1+$B20)^$L$5+$Y$6/(1+$B20)^$L$6+$Y$7/(1+$B20)^$L$7+$Y$8/(1+$B20)^$L$8)+($Y$13/($B20-E$19)/(1+$B20)^$L$8)</f>
        <v>165.01637439165086</v>
      </c>
      <c r="F20" s="143">
        <f>($Y$4/(1+$B20)^$L$4+$Y$5/(1+$B20)^$L$5+$Y$6/(1+$B20)^$L$6+$Y$7/(1+$B20)^$L$7+$Y$8/(1+$B20)^$L$8)+($Y$14/($B20-F$19)/(1+$B20)^$L$8)</f>
        <v>156.09108828585067</v>
      </c>
      <c r="G20" s="143">
        <f>($Y$4/(1+$B20)^$L$4+$Y$5/(1+$B20)^$L$5+$Y$6/(1+$B20)^$L$6+$Y$7/(1+$B20)^$L$7+$Y$8/(1+$B20)^$L$8)+($Y$15/($B20-G$19)/(1+$B20)^$L$8)</f>
        <v>149.71588392456496</v>
      </c>
      <c r="H20" s="222"/>
      <c r="J20" s="146">
        <f>J21-$I$2</f>
        <v>7.9999999999999988E-2</v>
      </c>
      <c r="K20" s="147">
        <f>($Y$4/(1+$J20)^$L$4+$Y$5/(1+$J20)^$L$5+$Y$6/(1+$J20)^$L$6+$Y$7/(1+$J20)^$L$7+$Y$8/(1+$J20)^$L$8)+($V$11*(1-K$19/($AA$11-$I$3-$I$3))/($J20-K$19)/(1+$J20)^$L$8)</f>
        <v>44.482578933367797</v>
      </c>
      <c r="L20" s="147">
        <f>($Y$4/(1+$J20)^$L$4+$Y$5/(1+$J20)^$L$5+$Y$6/(1+$J20)^$L$6+$Y$7/(1+$J20)^$L$7+$Y$8/(1+$J20)^$L$8)+($V$12*(1-L$19/($AA$12-$I$3-$I$3))/($J20-L$19)/(1+$J20)^$L$8)</f>
        <v>86.661505689635305</v>
      </c>
      <c r="M20" s="147">
        <f>($Y$4/(1+$J20)^$L$4+$Y$5/(1+$J20)^$L$5+$Y$6/(1+$J20)^$L$6+$Y$7/(1+$J20)^$L$7+$Y$8/(1+$J20)^$L$8)+($V$13*(1-M$19/($AA$13-$I$3-$I$3))/($J20-M$19)/(1+$J20)^$L$8)</f>
        <v>111.16959531612609</v>
      </c>
      <c r="N20" s="147">
        <f>($Y$4/(1+$J20)^$L$4+$Y$5/(1+$J20)^$L$5+$Y$6/(1+$J20)^$L$6+$Y$7/(1+$J20)^$L$7+$Y$8/(1+$J20)^$L$8)+($V$14*(1-N$19/($AA$14-$I$3-$I$3))/($J20-N$19)/(1+$J20)^$L$8)</f>
        <v>126.84226637772832</v>
      </c>
      <c r="O20" s="147">
        <f>($Y$4/(1+$J20)^$L$4+$Y$5/(1+$J20)^$L$5+$Y$6/(1+$J20)^$L$6+$Y$7/(1+$J20)^$L$7+$Y$8/(1+$J20)^$L$8)+($V$15*(1-O$19/($AA$15-$I$3 -$I$3))/($J20-O$19)/(1+$J20)^$L$8)</f>
        <v>137.46612683082319</v>
      </c>
      <c r="P20" s="230"/>
      <c r="Q20" s="164"/>
      <c r="R20" s="234" t="s">
        <v>233</v>
      </c>
      <c r="S20" s="149">
        <f>S21-$I$2</f>
        <v>7.9999999999999988E-2</v>
      </c>
      <c r="T20" s="150">
        <f>($Y$4/(1+$S20)^$L$4+$Y$5/(1+$S20)^$L$5+$Y$6/(1+$S20)^$L$6+$Y$7/(1+$S20)^$L$7+$Y$8/(1+$S20)^$L$8)+($Y$11/($S20-T$19)/(1+$S20)^$L$8)+($Z$4/(1+$Y$22)^$L$4+$Z$5/(1+$Y$22)^$L$5+$Z$6/(1+$Y$22)^$L$6+$Z$7/(1+$Y$22)^$L$7+$Z$8/(1+$Y$22)^$L$8)+($Z$11/($Y$22-T$19)/(1+$Y22)^$L$8)</f>
        <v>226.45780528400866</v>
      </c>
      <c r="U20" s="150">
        <f>($Y$4/(1+$S20)^$L$4+$Y$5/(1+$S20)^$L$5+$Y$6/(1+$S20)^$L$6+$Y$7/(1+$S20)^$L$7+$Y$8/(1+$S20)^$L$8)+($Y$12/($S20-U$19)/(1+$S20)^$L$8)+($Z$4/(1+$Y$22)^$L$4+$Z$5/(1+$Y$22)^$L$5+$Z$6/(1+$Y$22)^$L$6+$Z$7/(1+$Y$22)^$L$7+$Z$8/(1+$Y$22)^$L$8)+($Z$12/($Y$22-U$19)/(1+$Y$22)^$L$8)</f>
        <v>215.0973678891508</v>
      </c>
      <c r="V20" s="150">
        <f>($Y$4/(1+$S20)^$L$4+$Y$5/(1+$S20)^$L$5+$Y$6/(1+$S20)^$L$6+$Y$7/(1+$S20)^$L$7+$Y$8/(1+$S20)^$L$8)+($Y$13/($S20-V$19)/(1+$S20)^$L$8)+($Z$4/(1+$Y$22)^$L$4+$Z$5/(1+$Y$22)^$L$5+$Z$6/(1+$Y$22)^$L$6+$Z$7/(1+$Y$22)^$L$7+$Z$8/(1+$Y$22)^$L$8)+($Z$13/($Y$22-V$19)/(1+$Y$22)^$L$8)</f>
        <v>181.69018846820435</v>
      </c>
      <c r="W20" s="150">
        <f>($Y$4/(1+$S20)^$L$4+$Y$5/(1+$S20)^$L$5+$Y$6/(1+$S20)^$L$6+$Y$7/(1+$S20)^$L$7+$Y$8/(1+$S20)^$L$8)+($Y$14/($S20-W$19)/(1+$S20)^$L$8)+($Z$4/(1+$Y$22)^$L$4+$Z$5/(1+$Y$22)^$L$5+$Z$6/(1+$Y$22)^$L$6+$Z$7/(1+$Y$22)^$L$7+$Z$8/(1+$Y$22)^$L$8)+($Z$14/($Y$22-W$19)/(1+$Y$22)^$L$8)</f>
        <v>170.49828426425327</v>
      </c>
      <c r="X20" s="150">
        <f>($Y$4/(1+$S20)^$L$4+$Y$5/(1+$S20)^$L$5+$Y$6/(1+$S20)^$L$6+$Y$7/(1+$S20)^$L$7+$Y$8/(1+$S20)^$L$8)+($Y$15/($S20-X$19)/(1+$S20)^$L$8)+($Z$4/(1+$Y$22)^$L$4+$Z$5/(1+$Y$22)^$L$5+$Z$6/(1+$Y$22)^$L$6+$Z$7/(1+$Y$22)^$L$7+$Z$8/(1+$Y$22)^$L$8)+($Z$15/($Y$22-X$19)/(1+$Y$22)^$L$8)</f>
        <v>162.50406697571691</v>
      </c>
      <c r="Y20" s="231"/>
      <c r="AA20" s="154">
        <f>AA21-$I$2</f>
        <v>7.9999999999999988E-2</v>
      </c>
      <c r="AB20" s="152">
        <f>($Y$4/(1+$AA20)^$L$4+$Y$5/(1+$AA20)^$L$5+$Y$6/(1+$AA20)^$L$6+$Y$7/(1+$AA20)^$L$7+$Y$8/(1+$AA20)^$L$8)+($S$11*$AG$23)/(1+$AA20)^$L$8</f>
        <v>160.85063947184526</v>
      </c>
      <c r="AC20" s="152">
        <f>($Y$4/(1+$AA20)^$L$4+$Y$5/(1+$AA20)^$L$5+$Y$6/(1+$AA20)^$L$6+$Y$7/(1+$AA20)^$L$7+$Y$8/(1+$AA20)^$L$8)+($S$12*$AG$23)/(1+$AA20)^$L$8</f>
        <v>159.38039478357462</v>
      </c>
      <c r="AD20" s="152">
        <f>($Y$4/(1+$AA20)^$L$4+$Y$5/(1+$AA20)^$L$5+$Y$6/(1+$AA20)^$L$6+$Y$7/(1+$AA20)^$L$7+$Y$8/(1+$AA20)^$L$8)+($S$13*$AG$23)/(1+$AA20)^$L$8</f>
        <v>157.910150095304</v>
      </c>
      <c r="AE20" s="152">
        <f>($Y$4/(1+$AA20)^$L$4+$Y$5/(1+$AA20)^$L$5+$Y$6/(1+$AA20)^$L$6+$Y$7/(1+$AA20)^$L$7+$Y$8/(1+$AA20)^$L$8)+($S$14*$AG$23)/(1+$AA20)^$L$8</f>
        <v>156.43990540703331</v>
      </c>
      <c r="AF20" s="152">
        <f>($Y$4/(1+$AA20)^$L$4+$Y$5/(1+$AA20)^$L$5+$Y$6/(1+$AA20)^$L$6+$Y$7/(1+$AA20)^$L$7+$Y$8/(1+$AA20)^$L$8)+($S$15*$AG$23)/(1+$AA20)^$L$8</f>
        <v>154.96966071876273</v>
      </c>
      <c r="AG20" s="232"/>
    </row>
    <row r="21" spans="1:33" ht="15" customHeight="1" x14ac:dyDescent="0.25">
      <c r="A21" s="233"/>
      <c r="B21" s="144">
        <f>B22-$I$2</f>
        <v>9.9999999999999992E-2</v>
      </c>
      <c r="C21" s="143">
        <f>($Y$4/(1+$B21)^$L$4+$Y$5/(1+$B21)^$L$5+$Y$6/(1+$B21)^$L$6+$Y$7/(1+$B21)^$L$7+$Y$8/(1+$B21)^$L$8)+($Y12/($B21-C$19)/(1+$B21)^$L$8)</f>
        <v>143.66162846125127</v>
      </c>
      <c r="D21" s="143">
        <f>($Y$4/(1+$B21)^$L$4+$Y$5/(1+$B21)^$L$5+$Y$6/(1+$B21)^$L$6+$Y$7/(1+$B21)^$L$7+$Y$8/(1+$B21)^$L$8)+($Y$12/($B21-D$19)/(1+$B21)^$L$8)</f>
        <v>120.72563356299071</v>
      </c>
      <c r="E21" s="143">
        <f>($Y$4/(1+$B21)^$L$4+$Y$5/(1+$B21)^$L$5+$Y$6/(1+$B21)^$L$6+$Y$7/(1+$B21)^$L$7+$Y$8/(1+$B21)^$L$8)+($Y$13/($B21-E$19)/(1+$B21)^$L$8)</f>
        <v>109.3622527964728</v>
      </c>
      <c r="F21" s="143">
        <f>($Y$4/(1+$B21)^$L$4+$Y$5/(1+$B21)^$L$5+$Y$6/(1+$B21)^$L$6+$Y$7/(1+$B21)^$L$7+$Y$8/(1+$B21)^$L$8)+($Y$14/($B21-F$19)/(1+$B21)^$L$8)</f>
        <v>108.42093002694097</v>
      </c>
      <c r="G21" s="143">
        <f>($Y$4/(1+$B21)^$L$4+$Y$5/(1+$B21)^$L$5+$Y$6/(1+$B21)^$L$6+$Y$7/(1+$B21)^$L$7+$Y$8/(1+$B21)^$L$8)+($Y$15/($B21-G$19)/(1+$B21)^$L$8)</f>
        <v>107.68879009508298</v>
      </c>
      <c r="H21" s="222"/>
      <c r="J21" s="146">
        <f>J22-$I$2</f>
        <v>9.9999999999999992E-2</v>
      </c>
      <c r="K21" s="147">
        <f>($Y$4/(1+$J21)^$L$4+$Y$5/(1+$J21)^$L$5+$Y$6/(1+$J21)^$L$6+$Y$7/(1+$J21)^$L$7+$Y$8/(1+$J21)^$L$8)+($V$11*(1-K$19/($AA$11-$I$3-$I$3))/($J21-K$19)/(1+$J21)^$L$8)</f>
        <v>26.851123340817942</v>
      </c>
      <c r="L21" s="147">
        <f>($Y$4/(1+$J21)^$L$4+$Y$5/(1+$J21)^$L$5+$Y$6/(1+$J21)^$L$6+$Y$7/(1+$J21)^$L$7+$Y$8/(1+$J21)^$L$8)+($V$12*(1-L$19/($AA$12-$I$3-$I$3))/($J21-L$19)/(1+$J21)^$L$8)</f>
        <v>54.817109012280476</v>
      </c>
      <c r="M21" s="147">
        <f>($Y$4/(1+$J21)^$L$4+$Y$5/(1+$J21)^$L$5+$Y$6/(1+$J21)^$L$6+$Y$7/(1+$J21)^$L$7+$Y$8/(1+$J21)^$L$8)+($V$13*(1-M$19/($AA$13-$I$3-$I$3))/($J21-M$19)/(1+$J21)^$L$8)</f>
        <v>74.271955605381009</v>
      </c>
      <c r="N21" s="147">
        <f>($Y$4/(1+$J21)^$L$4+$Y$5/(1+$J21)^$L$5+$Y$6/(1+$J21)^$L$6+$Y$7/(1+$J21)^$L$7+$Y$8/(1+$J21)^$L$8)+($V$14*(1-N$19/($AA$14-$I$3-$I$3))/($J21-N$19)/(1+$J21)^$L$8)</f>
        <v>88.407340274505202</v>
      </c>
      <c r="O21" s="147">
        <f>($Y$4/(1+$J21)^$L$4+$Y$5/(1+$J21)^$L$5+$Y$6/(1+$J21)^$L$6+$Y$7/(1+$J21)^$L$7+$Y$8/(1+$J21)^$L$8)+($V$15*(1-O$19/($AA$15-$I$3 -$I$3))/($J21-O$19)/(1+$J21)^$L$8)</f>
        <v>98.996416994312028</v>
      </c>
      <c r="P21" s="230"/>
      <c r="Q21" s="164"/>
      <c r="R21" s="234"/>
      <c r="S21" s="149">
        <f>S22-$I$2</f>
        <v>9.9999999999999992E-2</v>
      </c>
      <c r="T21" s="150">
        <f t="shared" ref="T21:T23" si="1">($Y$4/(1+$S21)^$L$4+$Y$5/(1+$S21)^$L$5+$Y$6/(1+$S21)^$L$6+$Y$7/(1+$S21)^$L$7+$Y$8/(1+$S21)^$L$8)+($Y$11/($S21-T$19)/(1+$S21)^$L$8)+($Z$4/(1+$Y$22)^$L$4+$Z$5/(1+$Y$22)^$L$5+$Z$6/(1+$Y$22)^$L$6+$Z$7/(1+$Y$22)^$L$7+$Z$8/(1+$Y$22)^$L$8)+($Z$11/($Y$22-T$19)/(1+$Y23)^$L$8)</f>
        <v>148.75264725658417</v>
      </c>
      <c r="U21" s="150">
        <f t="shared" ref="U21:U24" si="2">($Y$4/(1+$S21)^$L$4+$Y$5/(1+$S21)^$L$5+$Y$6/(1+$S21)^$L$6+$Y$7/(1+$S21)^$L$7+$Y$8/(1+$S21)^$L$8)+($Y$12/($S21-U$19)/(1+$S21)^$L$8)+($Z$4/(1+$Y$22)^$L$4+$Z$5/(1+$Y$22)^$L$5+$Z$6/(1+$Y$22)^$L$6+$Z$7/(1+$Y$22)^$L$7+$Z$8/(1+$Y$22)^$L$8)+($Z$12/($Y$22-U$19)/(1+$Y$22)^$L$8)</f>
        <v>140.79937478677058</v>
      </c>
      <c r="V21" s="150">
        <f t="shared" ref="V21:V24" si="3">($Y$4/(1+$S21)^$L$4+$Y$5/(1+$S21)^$L$5+$Y$6/(1+$S21)^$L$6+$Y$7/(1+$S21)^$L$7+$Y$8/(1+$S21)^$L$8)+($Y$13/($S21-V$19)/(1+$S21)^$L$8)+($Z$4/(1+$Y$22)^$L$4+$Z$5/(1+$Y$22)^$L$5+$Z$6/(1+$Y$22)^$L$6+$Z$7/(1+$Y$22)^$L$7+$Z$8/(1+$Y$22)^$L$8)+($Z$13/($Y$22-V$19)/(1+$Y$22)^$L$8)</f>
        <v>126.0360668730263</v>
      </c>
      <c r="W21" s="150">
        <f t="shared" ref="W21:W24" si="4">($Y$4/(1+$S21)^$L$4+$Y$5/(1+$S21)^$L$5+$Y$6/(1+$S21)^$L$6+$Y$7/(1+$S21)^$L$7+$Y$8/(1+$S21)^$L$8)+($Y$14/($S21-W$19)/(1+$S21)^$L$8)+($Z$4/(1+$Y$22)^$L$4+$Z$5/(1+$Y$22)^$L$5+$Z$6/(1+$Y$22)^$L$6+$Z$7/(1+$Y$22)^$L$7+$Z$8/(1+$Y$22)^$L$8)+($Z$14/($Y$22-W$19)/(1+$Y$22)^$L$8)</f>
        <v>122.82812600534353</v>
      </c>
      <c r="X21" s="150">
        <f t="shared" ref="X21:X24" si="5">($Y$4/(1+$S21)^$L$4+$Y$5/(1+$S21)^$L$5+$Y$6/(1+$S21)^$L$6+$Y$7/(1+$S21)^$L$7+$Y$8/(1+$S21)^$L$8)+($Y$15/($S21-X$19)/(1+$S21)^$L$8)+($Z$4/(1+$Y$22)^$L$4+$Z$5/(1+$Y$22)^$L$5+$Z$6/(1+$Y$22)^$L$6+$Z$7/(1+$Y$22)^$L$7+$Z$8/(1+$Y$22)^$L$8)+($Z$15/($Y$22-X$19)/(1+$Y$22)^$L$8)</f>
        <v>120.4769731462349</v>
      </c>
      <c r="Y21" s="231"/>
      <c r="AA21" s="154">
        <f>AA22-$I$2</f>
        <v>9.9999999999999992E-2</v>
      </c>
      <c r="AB21" s="152">
        <f>($Y$4/(1+$AA21)^$L$4+$Y$5/(1+$AA21)^$L$5+$Y$6/(1+$AA21)^$L$6+$Y$7/(1+$AA21)^$L$7+$Y$8/(1+$AA21)^$L$8)+($S$11*$AG$23)/(1+$AA21)^$L$8</f>
        <v>146.8883356309195</v>
      </c>
      <c r="AC21" s="152">
        <f>($Y$4/(1+$AA21)^$L$4+$Y$5/(1+$AA21)^$L$5+$Y$6/(1+$AA21)^$L$6+$Y$7/(1+$AA21)^$L$7+$Y$8/(1+$AA21)^$L$8)+($S$12*$AG$23)/(1+$AA21)^$L$8</f>
        <v>145.54697680654579</v>
      </c>
      <c r="AD21" s="152">
        <f>($Y$4/(1+$AA21)^$L$4+$Y$5/(1+$AA21)^$L$5+$Y$6/(1+$AA21)^$L$6+$Y$7/(1+$AA21)^$L$7+$Y$8/(1+$AA21)^$L$8)+($S$13*$AG$23)/(1+$AA21)^$L$8</f>
        <v>144.20561798217207</v>
      </c>
      <c r="AE21" s="152">
        <f>($Y$4/(1+$AA21)^$L$4+$Y$5/(1+$AA21)^$L$5+$Y$6/(1+$AA21)^$L$6+$Y$7/(1+$AA21)^$L$7+$Y$8/(1+$AA21)^$L$8)+($S$14*$AG$23)/(1+$AA21)^$L$8</f>
        <v>142.86425915779833</v>
      </c>
      <c r="AF21" s="152">
        <f>($Y$4/(1+$AA21)^$L$4+$Y$5/(1+$AA21)^$L$5+$Y$6/(1+$AA21)^$L$6+$Y$7/(1+$AA21)^$L$7+$Y$8/(1+$AA21)^$L$8)+($S$15*$AG$23)/(1+$AA21)^$L$8</f>
        <v>141.52290033342464</v>
      </c>
      <c r="AG21" s="232"/>
    </row>
    <row r="22" spans="1:33" ht="15" customHeight="1" x14ac:dyDescent="0.25">
      <c r="A22" s="233"/>
      <c r="B22" s="144">
        <f>$I$10</f>
        <v>0.12</v>
      </c>
      <c r="C22" s="143">
        <f>($Y$4/(1+$B22)^$L$4+$Y$5/(1+$B22)^$L$5+$Y$6/(1+$B22)^$L$6+$Y$7/(1+$B22)^$L$7+$Y$8/(1+$B22)^$L$8)+($Y13/($B22-C$19)/(1+$B22)^$L$8)</f>
        <v>100.06920094779203</v>
      </c>
      <c r="D22" s="143">
        <f>($Y$4/(1+$B22)^$L$4+$Y$5/(1+$B22)^$L$5+$Y$6/(1+$B22)^$L$6+$Y$7/(1+$B22)^$L$7+$Y$8/(1+$B22)^$L$8)+($Y$12/($B22-D$19)/(1+$B22)^$L$8)</f>
        <v>84.25361119189273</v>
      </c>
      <c r="E22" s="143">
        <f>($Y$4/(1+$B22)^$L$4+$Y$5/(1+$B22)^$L$5+$Y$6/(1+$B22)^$L$6+$Y$7/(1+$B22)^$L$7+$Y$8/(1+$B22)^$L$8)+($Y$13/($B22-E$19)/(1+$B22)^$L$8)</f>
        <v>79.087974164777634</v>
      </c>
      <c r="F22" s="143">
        <f>($Y$4/(1+$B22)^$L$4+$Y$5/(1+$B22)^$L$5+$Y$6/(1+$B22)^$L$6+$Y$7/(1+$B22)^$L$7+$Y$8/(1+$B22)^$L$8)+($Y$14/($B22-F$19)/(1+$B22)^$L$8)</f>
        <v>80.497917133997461</v>
      </c>
      <c r="G22" s="143">
        <f>($Y$4/(1+$B22)^$L$4+$Y$5/(1+$B22)^$L$5+$Y$6/(1+$B22)^$L$6+$Y$7/(1+$B22)^$L$7+$Y$8/(1+$B22)^$L$8)+($Y$15/($B22-G$19)/(1+$B22)^$L$8)</f>
        <v>81.651506836086497</v>
      </c>
      <c r="H22" s="222"/>
      <c r="J22" s="146">
        <f>$I$10</f>
        <v>0.12</v>
      </c>
      <c r="K22" s="147">
        <f>($Y$4/(1+$J22)^$L$4+$Y$5/(1+$J22)^$L$5+$Y$6/(1+$J22)^$L$6+$Y$7/(1+$J22)^$L$7+$Y$8/(1+$J22)^$L$8)+($V$11*(1-K$19/($AA$11-$I$3-$I$3))/($J22-K$19)/(1+$J22)^$L$8)</f>
        <v>19.234397075866319</v>
      </c>
      <c r="L22" s="147">
        <f>($Y$4/(1+$J22)^$L$4+$Y$5/(1+$J22)^$L$5+$Y$6/(1+$J22)^$L$6+$Y$7/(1+$J22)^$L$7+$Y$8/(1+$J22)^$L$8)+($V$12*(1-L$19/($AA$12-$I$3-$I$3))/($J22-L$19)/(1+$J22)^$L$8)</f>
        <v>39.08089913240687</v>
      </c>
      <c r="M22" s="147">
        <f>($Y$4/(1+$J22)^$L$4+$Y$5/(1+$J22)^$L$5+$Y$6/(1+$J22)^$L$6+$Y$7/(1+$J22)^$L$7+$Y$8/(1+$J22)^$L$8)+($V$13*(1-M$19/($AA$13-$I$3-$I$3))/($J22-M$19)/(1+$J22)^$L$8)</f>
        <v>54.14685775284854</v>
      </c>
      <c r="N22" s="147">
        <f>($Y$4/(1+$J22)^$L$4+$Y$5/(1+$J22)^$L$5+$Y$6/(1+$J22)^$L$6+$Y$7/(1+$J22)^$L$7+$Y$8/(1+$J22)^$L$8)+($V$14*(1-N$19/($AA$14-$I$3-$I$3))/($J22-N$19)/(1+$J22)^$L$8)</f>
        <v>65.86643596802088</v>
      </c>
      <c r="O22" s="147">
        <f>($Y$4/(1+$J22)^$L$4+$Y$5/(1+$J22)^$L$5+$Y$6/(1+$J22)^$L$6+$Y$7/(1+$J22)^$L$7+$Y$8/(1+$J22)^$L$8)+($V$15*(1-O$19/($AA$15-$I$3 -$I$3))/($J22-O$19)/(1+$J22)^$L$8)</f>
        <v>75.152282979361189</v>
      </c>
      <c r="P22" s="235">
        <f>$AA$11-$I$3-$I$3</f>
        <v>5.5434645059972351E-2</v>
      </c>
      <c r="Q22" s="165"/>
      <c r="R22" s="234"/>
      <c r="S22" s="149">
        <f>$I$10</f>
        <v>0.12</v>
      </c>
      <c r="T22" s="150">
        <f t="shared" si="1"/>
        <v>111.43772727890193</v>
      </c>
      <c r="U22" s="150">
        <f t="shared" si="2"/>
        <v>104.32735241567261</v>
      </c>
      <c r="V22" s="150">
        <f t="shared" si="3"/>
        <v>95.761788241331132</v>
      </c>
      <c r="W22" s="150">
        <f t="shared" si="4"/>
        <v>94.905113112400045</v>
      </c>
      <c r="X22" s="150">
        <f t="shared" si="5"/>
        <v>94.439689887238416</v>
      </c>
      <c r="Y22" s="236">
        <f>'Mkt Val with BOP and required r'!$J$7-$I$2-$I$2</f>
        <v>7.9999999999999988E-2</v>
      </c>
      <c r="AA22" s="154">
        <f>$I$10</f>
        <v>0.12</v>
      </c>
      <c r="AB22" s="152">
        <f>($Y$4/(1+$AA22)^$L$4+$Y$5/(1+$AA22)^$L$5+$Y$6/(1+$AA22)^$L$6+$Y$7/(1+$AA22)^$L$7+$Y$8/(1+$AA22)^$L$8)+($S$11*$AG$23)/(1+$AA22)^$L$8</f>
        <v>134.36228511065815</v>
      </c>
      <c r="AC22" s="152">
        <f>($Y$4/(1+$AA22)^$L$4+$Y$5/(1+$AA22)^$L$5+$Y$6/(1+$AA22)^$L$6+$Y$7/(1+$AA22)^$L$7+$Y$8/(1+$AA22)^$L$8)+($S$12*$AG$23)/(1+$AA22)^$L$8</f>
        <v>133.13648887554922</v>
      </c>
      <c r="AD22" s="152">
        <f>($Y$4/(1+$AA22)^$L$4+$Y$5/(1+$AA22)^$L$5+$Y$6/(1+$AA22)^$L$6+$Y$7/(1+$AA22)^$L$7+$Y$8/(1+$AA22)^$L$8)+($S$13*$AG$23)/(1+$AA22)^$L$8</f>
        <v>131.91069264044029</v>
      </c>
      <c r="AE22" s="152">
        <f>($Y$4/(1+$AA22)^$L$4+$Y$5/(1+$AA22)^$L$5+$Y$6/(1+$AA22)^$L$6+$Y$7/(1+$AA22)^$L$7+$Y$8/(1+$AA22)^$L$8)+($S$14*$AG$23)/(1+$AA22)^$L$8</f>
        <v>130.6848964053313</v>
      </c>
      <c r="AF22" s="152">
        <f>($Y$4/(1+$AA22)^$L$4+$Y$5/(1+$AA22)^$L$5+$Y$6/(1+$AA22)^$L$6+$Y$7/(1+$AA22)^$L$7+$Y$8/(1+$AA22)^$L$8)+($S$15*$AG$23)/(1+$AA22)^$L$8</f>
        <v>129.4591001702224</v>
      </c>
      <c r="AG22" s="232"/>
    </row>
    <row r="23" spans="1:33" ht="15" customHeight="1" x14ac:dyDescent="0.25">
      <c r="A23" s="233"/>
      <c r="B23" s="144">
        <f>B22+$I$2</f>
        <v>0.13999999999999999</v>
      </c>
      <c r="C23" s="143">
        <f>($Y$4/(1+$B23)^$L$4+$Y$5/(1+$B23)^$L$5+$Y$6/(1+$B23)^$L$6+$Y$7/(1+$B23)^$L$7+$Y$8/(1+$B23)^$L$8)+($Y14/($B23-C$19)/(1+$B23)^$L$8)</f>
        <v>81.412090417251534</v>
      </c>
      <c r="D23" s="143">
        <f>($Y$4/(1+$B23)^$L$4+$Y$5/(1+$B23)^$L$5+$Y$6/(1+$B23)^$L$6+$Y$7/(1+$B23)^$L$7+$Y$8/(1+$B23)^$L$8)+($Y$12/($B23-D$19)/(1+$B23)^$L$8)</f>
        <v>62.849412651217861</v>
      </c>
      <c r="E23" s="143">
        <f>($Y$4/(1+$B23)^$L$4+$Y$5/(1+$B23)^$L$5+$Y$6/(1+$B23)^$L$6+$Y$7/(1+$B23)^$L$7+$Y$8/(1+$B23)^$L$8)+($Y$13/($B23-E$19)/(1+$B23)^$L$8)</f>
        <v>60.288992643425274</v>
      </c>
      <c r="F23" s="143">
        <f>($Y$4/(1+$B23)^$L$4+$Y$5/(1+$B23)^$L$5+$Y$6/(1+$B23)^$L$6+$Y$7/(1+$B23)^$L$7+$Y$8/(1+$B23)^$L$8)+($Y$14/($B23-F$19)/(1+$B23)^$L$8)</f>
        <v>62.382838324018493</v>
      </c>
      <c r="G23" s="143">
        <f>($Y$4/(1+$B23)^$L$4+$Y$5/(1+$B23)^$L$5+$Y$6/(1+$B23)^$L$6+$Y$7/(1+$B23)^$L$7+$Y$8/(1+$B23)^$L$8)+($Y$15/($B23-G$19)/(1+$B23)^$L$8)</f>
        <v>64.154553899905153</v>
      </c>
      <c r="H23" s="222"/>
      <c r="J23" s="146">
        <f>J22+$I$2</f>
        <v>0.13999999999999999</v>
      </c>
      <c r="K23" s="147">
        <f>($Y$4/(1+$J23)^$L$4+$Y$5/(1+$J23)^$L$5+$Y$6/(1+$J23)^$L$6+$Y$7/(1+$J23)^$L$7+$Y$8/(1+$J23)^$L$8)+($V$11*(1-K$19/($AA$11-$I$3-$I$3))/($J23-K$19)/(1+$J23)^$L$8)</f>
        <v>14.963247529983335</v>
      </c>
      <c r="L23" s="147">
        <f>($Y$4/(1+$J23)^$L$4+$Y$5/(1+$J23)^$L$5+$Y$6/(1+$J23)^$L$6+$Y$7/(1+$J23)^$L$7+$Y$8/(1+$J23)^$L$8)+($V$12*(1-L$19/($AA$12-$I$3-$I$3))/($J23-L$19)/(1+$J23)^$L$8)</f>
        <v>29.771963614183584</v>
      </c>
      <c r="M23" s="147">
        <f>($Y$4/(1+$J23)^$L$4+$Y$5/(1+$J23)^$L$5+$Y$6/(1+$J23)^$L$6+$Y$7/(1+$J23)^$L$7+$Y$8/(1+$J23)^$L$8)+($V$13*(1-M$19/($AA$13-$I$3-$I$3))/($J23-M$19)/(1+$J23)^$L$8)</f>
        <v>41.610941063797725</v>
      </c>
      <c r="N23" s="147">
        <f>($Y$4/(1+$J23)^$L$4+$Y$5/(1+$J23)^$L$5+$Y$6/(1+$J23)^$L$6+$Y$7/(1+$J23)^$L$7+$Y$8/(1+$J23)^$L$8)+($V$14*(1-N$19/($AA$14-$I$3-$I$3))/($J23-N$19)/(1+$J23)^$L$8)</f>
        <v>51.222614537472204</v>
      </c>
      <c r="O23" s="147">
        <f>($Y$4/(1+$J23)^$L$4+$Y$5/(1+$J23)^$L$5+$Y$6/(1+$J23)^$L$6+$Y$7/(1+$J23)^$L$7+$Y$8/(1+$J23)^$L$8)+($V$15*(1-O$19/($AA$15-$I$3 -$I$3))/($J23-O$19)/(1+$J23)^$L$8)</f>
        <v>59.120977260424041</v>
      </c>
      <c r="P23" s="235"/>
      <c r="Q23" s="165"/>
      <c r="R23" s="234"/>
      <c r="S23" s="149">
        <f>S22+$I$2</f>
        <v>0.13999999999999999</v>
      </c>
      <c r="T23" s="150">
        <f t="shared" si="1"/>
        <v>91.083565759452895</v>
      </c>
      <c r="U23" s="150">
        <f t="shared" si="2"/>
        <v>82.923153874997723</v>
      </c>
      <c r="V23" s="150">
        <f t="shared" si="3"/>
        <v>76.962806719978772</v>
      </c>
      <c r="W23" s="150">
        <f t="shared" si="4"/>
        <v>76.790034302421077</v>
      </c>
      <c r="X23" s="150">
        <f t="shared" si="5"/>
        <v>76.942736951057071</v>
      </c>
      <c r="Y23" s="236"/>
      <c r="AA23" s="154">
        <f>AA22+$I$2</f>
        <v>0.13999999999999999</v>
      </c>
      <c r="AB23" s="152">
        <f>($Y$4/(1+$AA23)^$L$4+$Y$5/(1+$AA23)^$L$5+$Y$6/(1+$AA23)^$L$6+$Y$7/(1+$AA23)^$L$7+$Y$8/(1+$AA23)^$L$8)+($S$11*$AG$23)/(1+$AA23)^$L$8</f>
        <v>123.10271739663395</v>
      </c>
      <c r="AC23" s="152">
        <f>($Y$4/(1+$AA23)^$L$4+$Y$5/(1+$AA23)^$L$5+$Y$6/(1+$AA23)^$L$6+$Y$7/(1+$AA23)^$L$7+$Y$8/(1+$AA23)^$L$8)+($S$12*$AG$23)/(1+$AA23)^$L$8</f>
        <v>121.98073991708803</v>
      </c>
      <c r="AD23" s="152">
        <f>($Y$4/(1+$AA23)^$L$4+$Y$5/(1+$AA23)^$L$5+$Y$6/(1+$AA23)^$L$6+$Y$7/(1+$AA23)^$L$7+$Y$8/(1+$AA23)^$L$8)+($S$13*$AG$23)/(1+$AA23)^$L$8</f>
        <v>120.85876243754211</v>
      </c>
      <c r="AE23" s="152">
        <f>($Y$4/(1+$AA23)^$L$4+$Y$5/(1+$AA23)^$L$5+$Y$6/(1+$AA23)^$L$6+$Y$7/(1+$AA23)^$L$7+$Y$8/(1+$AA23)^$L$8)+($S$14*$AG$23)/(1+$AA23)^$L$8</f>
        <v>119.73678495799616</v>
      </c>
      <c r="AF23" s="152">
        <f>($Y$4/(1+$AA23)^$L$4+$Y$5/(1+$AA23)^$L$5+$Y$6/(1+$AA23)^$L$6+$Y$7/(1+$AA23)^$L$7+$Y$8/(1+$AA23)^$L$8)+($S$15*$AG$23)/(1+$AA23)^$L$8</f>
        <v>118.61480747845027</v>
      </c>
      <c r="AG23" s="237">
        <f>'Fin Stmt'!P44-'Val Matrix - Investor r'!I7-I7</f>
        <v>8.7603347895129797</v>
      </c>
    </row>
    <row r="24" spans="1:33" ht="15" customHeight="1" x14ac:dyDescent="0.25">
      <c r="A24" s="233"/>
      <c r="B24" s="144">
        <f>B23+$I$2</f>
        <v>0.15999999999999998</v>
      </c>
      <c r="C24" s="143">
        <f>($Y$4/(1+$B24)^$L$4+$Y$5/(1+$B24)^$L$5+$Y$6/(1+$B24)^$L$6+$Y$7/(1+$B24)^$L$7+$Y$8/(1+$B24)^$L$8)+($Y15/($B24-C$19)/(1+$B24)^$L$8)</f>
        <v>68.734200996586921</v>
      </c>
      <c r="D24" s="143">
        <f>($Y$4/(1+$B24)^$L$4+$Y$5/(1+$B24)^$L$5+$Y$6/(1+$B24)^$L$6+$Y$7/(1+$B24)^$L$7+$Y$8/(1+$B24)^$L$8)+($Y$12/($B24-D$19)/(1+$B24)^$L$8)</f>
        <v>48.933844083824312</v>
      </c>
      <c r="E24" s="143">
        <f>($Y$4/(1+$B24)^$L$4+$Y$5/(1+$B24)^$L$5+$Y$6/(1+$B24)^$L$6+$Y$7/(1+$B24)^$L$7+$Y$8/(1+$B24)^$L$8)+($Y$13/($B24-E$19)/(1+$B24)^$L$8)</f>
        <v>47.624194678064136</v>
      </c>
      <c r="F24" s="143">
        <f>($Y$4/(1+$B24)^$L$4+$Y$5/(1+$B24)^$L$5+$Y$6/(1+$B24)^$L$6+$Y$7/(1+$B24)^$L$7+$Y$8/(1+$B24)^$L$8)+($Y$14/($B24-F$19)/(1+$B24)^$L$8)</f>
        <v>49.823442922204691</v>
      </c>
      <c r="G24" s="143">
        <f>($Y$4/(1+$B24)^$L$4+$Y$5/(1+$B24)^$L$5+$Y$6/(1+$B24)^$L$6+$Y$7/(1+$B24)^$L$7+$Y$8/(1+$B24)^$L$8)+($Y$15/($B24-G$19)/(1+$B24)^$L$8)</f>
        <v>51.729458067126551</v>
      </c>
      <c r="H24" s="222"/>
      <c r="J24" s="146">
        <f>J23+$I$2</f>
        <v>0.15999999999999998</v>
      </c>
      <c r="K24" s="147">
        <f>($Y$4/(1+$J24)^$L$4+$Y$5/(1+$J24)^$L$5+$Y$6/(1+$J24)^$L$6+$Y$7/(1+$J24)^$L$7+$Y$8/(1+$J24)^$L$8)+($V$11*(1-K$19/($AA$11-$I$3-$I$3))/($J24-K$19)/(1+$J24)^$L$8)</f>
        <v>12.217921004483188</v>
      </c>
      <c r="L24" s="147">
        <f>($Y$4/(1+$J24)^$L$4+$Y$5/(1+$J24)^$L$5+$Y$6/(1+$J24)^$L$6+$Y$7/(1+$J24)^$L$7+$Y$8/(1+$J24)^$L$8)+($V$12*(1-L$19/($AA$12-$I$3-$I$3))/($J24-L$19)/(1+$J24)^$L$8)</f>
        <v>23.665017583602737</v>
      </c>
      <c r="M24" s="147">
        <f>($Y$4/(1+$J24)^$L$4+$Y$5/(1+$J24)^$L$5+$Y$6/(1+$J24)^$L$6+$Y$7/(1+$J24)^$L$7+$Y$8/(1+$J24)^$L$8)+($V$13*(1-M$19/($AA$13-$I$3-$I$3))/($J24-M$19)/(1+$J24)^$L$8)</f>
        <v>33.135968614273331</v>
      </c>
      <c r="N24" s="147">
        <f>($Y$4/(1+$J24)^$L$4+$Y$5/(1+$J24)^$L$5+$Y$6/(1+$J24)^$L$6+$Y$7/(1+$J24)^$L$7+$Y$8/(1+$J24)^$L$8)+($V$14*(1-N$19/($AA$14-$I$3-$I$3))/($J24-N$19)/(1+$J24)^$L$8)</f>
        <v>41.054233856876841</v>
      </c>
      <c r="O24" s="147">
        <f>($Y$4/(1+$J24)^$L$4+$Y$5/(1+$J24)^$L$5+$Y$6/(1+$J24)^$L$6+$Y$7/(1+$J24)^$L$7+$Y$8/(1+$J24)^$L$8)+($V$15*(1-O$19/($AA$15-$I$3 -$I$3))/($J24-O$19)/(1+$J24)^$L$8)</f>
        <v>47.730350469026803</v>
      </c>
      <c r="P24" s="235"/>
      <c r="Q24" s="165"/>
      <c r="R24" s="234"/>
      <c r="S24" s="149">
        <f>S23+$I$2</f>
        <v>0.15999999999999998</v>
      </c>
      <c r="T24" s="150">
        <f>($Y$4/(1+$S24)^$L$4+$Y$5/(1+$S24)^$L$5+$Y$6/(1+$S24)^$L$6+$Y$7/(1+$S24)^$L$7+$Y$8/(1+$S24)^$L$8)+($Y$11/($S24-T$19)/(1+$S24)^$L$8)+($Z$4/(1+$Y$22)^$L$4+$Z$5/(1+$Y$22)^$L$5+$Z$6/(1+$Y$22)^$L$6+$Z$7/(1+$Y$22)^$L$7+$Z$8/(1+$Y$22)^$L$8)+($Z$11/($Y$22-T$19)/(1+$Y22)^$L$8)</f>
        <v>67.766394707590777</v>
      </c>
      <c r="U24" s="150">
        <f t="shared" si="2"/>
        <v>69.007585307604188</v>
      </c>
      <c r="V24" s="150">
        <f t="shared" si="3"/>
        <v>64.298008754617641</v>
      </c>
      <c r="W24" s="150">
        <f t="shared" si="4"/>
        <v>64.230638900607261</v>
      </c>
      <c r="X24" s="150">
        <f t="shared" si="5"/>
        <v>64.517641118278476</v>
      </c>
      <c r="Y24" s="236"/>
      <c r="AA24" s="154">
        <f>AA23+$I$2</f>
        <v>0.15999999999999998</v>
      </c>
      <c r="AB24" s="152">
        <f>($Y$4/(1+$AA24)^$L$4+$Y$5/(1+$AA24)^$L$5+$Y$6/(1+$AA24)^$L$6+$Y$7/(1+$AA24)^$L$7+$Y$8/(1+$AA24)^$L$8)+($S$11*$AG$23)/(1+$AA24)^$L$8</f>
        <v>112.96243470849566</v>
      </c>
      <c r="AC24" s="152">
        <f>($Y$4/(1+$AA24)^$L$4+$Y$5/(1+$AA24)^$L$5+$Y$6/(1+$AA24)^$L$6+$Y$7/(1+$AA24)^$L$7+$Y$8/(1+$AA24)^$L$8)+($S$12*$AG$23)/(1+$AA24)^$L$8</f>
        <v>111.93390118756814</v>
      </c>
      <c r="AD24" s="152">
        <f>($Y$4/(1+$AA24)^$L$4+$Y$5/(1+$AA24)^$L$5+$Y$6/(1+$AA24)^$L$6+$Y$7/(1+$AA24)^$L$7+$Y$8/(1+$AA24)^$L$8)+($S$13*$AG$23)/(1+$AA24)^$L$8</f>
        <v>110.9053676666406</v>
      </c>
      <c r="AE24" s="152">
        <f>($Y$4/(1+$AA24)^$L$4+$Y$5/(1+$AA24)^$L$5+$Y$6/(1+$AA24)^$L$6+$Y$7/(1+$AA24)^$L$7+$Y$8/(1+$AA24)^$L$8)+($S$14*$AG$23)/(1+$AA24)^$L$8</f>
        <v>109.87683414571302</v>
      </c>
      <c r="AF24" s="152">
        <f>($Y$4/(1+$AA24)^$L$4+$Y$5/(1+$AA24)^$L$5+$Y$6/(1+$AA24)^$L$6+$Y$7/(1+$AA24)^$L$7+$Y$8/(1+$AA24)^$L$8)+($S$15*$AG$23)/(1+$AA24)^$L$8</f>
        <v>108.84830062478552</v>
      </c>
      <c r="AG24" s="237"/>
    </row>
    <row r="25" spans="1:33" ht="15" customHeight="1" x14ac:dyDescent="0.25">
      <c r="B25" s="133"/>
      <c r="C25" s="83"/>
      <c r="J25" s="155"/>
      <c r="L25" s="159"/>
    </row>
    <row r="26" spans="1:33" ht="15" customHeight="1" x14ac:dyDescent="0.25">
      <c r="B26" s="145"/>
      <c r="C26" s="146">
        <f>D26+$I$5</f>
        <v>0.05</v>
      </c>
      <c r="D26" s="146">
        <f>E26+$I$5</f>
        <v>0.04</v>
      </c>
      <c r="E26" s="146">
        <f>$I$11</f>
        <v>0.03</v>
      </c>
      <c r="F26" s="146">
        <f>E26-$I$5</f>
        <v>1.9999999999999997E-2</v>
      </c>
      <c r="G26" s="146">
        <f>F26-$I$5</f>
        <v>9.9999999999999967E-3</v>
      </c>
      <c r="H26" s="223" t="s">
        <v>218</v>
      </c>
      <c r="J26" s="145"/>
      <c r="K26" s="146">
        <f>L26+$I$5</f>
        <v>0.05</v>
      </c>
      <c r="L26" s="146">
        <f>M26+$I$5</f>
        <v>0.04</v>
      </c>
      <c r="M26" s="146">
        <f>$I$11</f>
        <v>0.03</v>
      </c>
      <c r="N26" s="146">
        <f>M26-$I$5</f>
        <v>1.9999999999999997E-2</v>
      </c>
      <c r="O26" s="146">
        <f>N26-$I$5</f>
        <v>9.9999999999999967E-3</v>
      </c>
      <c r="P26" s="230" t="s">
        <v>223</v>
      </c>
      <c r="Q26" s="164"/>
      <c r="T26" s="149">
        <f>U26+$I$5</f>
        <v>0.05</v>
      </c>
      <c r="U26" s="149">
        <f>V26+$I$5</f>
        <v>0.04</v>
      </c>
      <c r="V26" s="149">
        <f>$I$11</f>
        <v>0.03</v>
      </c>
      <c r="W26" s="149">
        <f>V26-$I$5</f>
        <v>1.9999999999999997E-2</v>
      </c>
      <c r="X26" s="149">
        <f>W26-$I$5</f>
        <v>9.9999999999999967E-3</v>
      </c>
      <c r="Y26" s="231" t="s">
        <v>227</v>
      </c>
      <c r="Z26" s="93"/>
      <c r="AA26" s="93"/>
      <c r="AB26" s="154">
        <f>AC26+$I$5</f>
        <v>0.05</v>
      </c>
      <c r="AC26" s="154">
        <f>AD26+$I$5</f>
        <v>0.04</v>
      </c>
      <c r="AD26" s="154">
        <f>$I$11</f>
        <v>0.03</v>
      </c>
      <c r="AE26" s="154">
        <f>AD26-$I$5</f>
        <v>1.9999999999999997E-2</v>
      </c>
      <c r="AF26" s="154">
        <f>AE26-$I$5</f>
        <v>9.9999999999999967E-3</v>
      </c>
      <c r="AG26" s="232" t="s">
        <v>225</v>
      </c>
    </row>
    <row r="27" spans="1:33" ht="15" customHeight="1" x14ac:dyDescent="0.25">
      <c r="A27" s="238" t="s">
        <v>210</v>
      </c>
      <c r="B27" s="146">
        <f>B28-$I$2</f>
        <v>7.9999999999999988E-2</v>
      </c>
      <c r="C27" s="147">
        <f>($Y$4/(1+$B27)^$L$4+$Y$5/(1+$B27)^$L$5+$Y$6/(1+$B27)^$L$6+$Y$7/(1+$B27)^$L$7+$Y$8/(1+$B27)^$L$8)+($V$11*(1-C$26/$AA$11)/($B27-C$26)/(1+$B27)^$L$8)</f>
        <v>191.04531271239946</v>
      </c>
      <c r="D27" s="147">
        <f>($Y$4/(1+$B27)^$L$4+$Y$5/(1+$B27)^$L$5+$Y$6/(1+$B27)^$L$6+$Y$7/(1+$B27)^$L$7+$Y$8/(1+$B27)^$L$8)+($V$12*(1-D$26/$AA$12)/($B27-D$26)/(1+$B27)^$L$8)</f>
        <v>173.76164462117416</v>
      </c>
      <c r="E27" s="147">
        <f>($Y$4/(1+$B27)^$L$4+$Y$5/(1+$B27)^$L$5+$Y$6/(1+$B27)^$L$6+$Y$7/(1+$B27)^$L$7+$Y$8/(1+$B27)^$L$8)+($V$13*(1-E$26/$AA$13)/($B27-E$26)/(1+$B27)^$L$8)</f>
        <v>162.92717787352134</v>
      </c>
      <c r="F27" s="147">
        <f>($Y$4/(1+$B27)^$L$4+$Y$5/(1+$B27)^$L$5+$Y$6/(1+$B27)^$L$6+$Y$7/(1+$B27)^$L$7+$Y$8/(1+$B27)^$L$8)+($V$14*(1-F$26/$AA$14)/($B27-F$26)/(1+$B27)^$L$8)</f>
        <v>155.31731179765458</v>
      </c>
      <c r="G27" s="147">
        <f>($Y$4/(1+$B27)^$L$4+$Y$5/(1+$B27)^$L$5+$Y$6/(1+$B27)^$L$6+$Y$7/(1+$B27)^$L$7+$Y$8/(1+$B27)^$L$8)+($V$15*(1-G$26/$AA$15)/($B27-G$26)/(1+$B27)^$L$8)</f>
        <v>149.55007467709439</v>
      </c>
      <c r="H27" s="223"/>
      <c r="J27" s="146">
        <f>J28-$I$2</f>
        <v>7.9999999999999988E-2</v>
      </c>
      <c r="K27" s="147">
        <f>($Y$4/(1+$J27)^$L$4+$Y$5/(1+$J27)^$L$5+$Y$6/(1+$J27)^$L$6+$Y$7/(1+$J27)^$L$7+$Y$8/(1+$J27)^$L$8)+($V$11*(1-K$26/($AA$11-$I$3))/($J27-K$26)/(1+$J27)^$L$8)</f>
        <v>137.1930468231615</v>
      </c>
      <c r="L27" s="147">
        <f>($Y$4/(1+$J27)^$L$4+$Y$5/(1+$J27)^$L$5+$Y$6/(1+$J27)^$L$6+$Y$7/(1+$J27)^$L$7+$Y$8/(1+$J27)^$L$8)+($V$12*(1-L$26/($AA$12-$I$3))/($J27-L$26)/(1+$J27)^$L$8)</f>
        <v>141.75801232128418</v>
      </c>
      <c r="M27" s="147">
        <f>($Y$4/(1+$J27)^$L$4+$Y$5/(1+$J27)^$L$5+$Y$6/(1+$J27)^$L$6+$Y$7/(1+$J27)^$L$7+$Y$8/(1+$J27)^$L$8)+($V$13*(1-M$26/($AA$13-$I$3))/($J27-M$26)/(1+$J27)^$L$8)</f>
        <v>143.90963483377902</v>
      </c>
      <c r="N27" s="147">
        <f>($Y$4/(1+$J27)^$L$4+$Y$5/(1+$J27)^$L$5+$Y$6/(1+$J27)^$L$6+$Y$7/(1+$J27)^$L$7+$Y$8/(1+$J27)^$L$8)+($V$14*(1-N$26/($AA$14-$I$3))/($J27-N$26)/(1+$J27)^$L$8)</f>
        <v>144.85458585345975</v>
      </c>
      <c r="O27" s="147">
        <f>($Y$4/(1+$J27)^$L$4+$Y$5/(1+$J27)^$L$5+$Y$6/(1+$J27)^$L$6+$Y$7/(1+$J27)^$L$7+$Y$8/(1+$J27)^$L$8)+($V$15*(1-O$26/($AA$15-$I$3))/($J27-O$26)/(1+$J27)^$L$8)</f>
        <v>145.11001030581843</v>
      </c>
      <c r="P27" s="230"/>
      <c r="Q27" s="164"/>
      <c r="R27" s="234" t="s">
        <v>233</v>
      </c>
      <c r="S27" s="149">
        <f>S28-$I$2</f>
        <v>7.9999999999999988E-2</v>
      </c>
      <c r="T27" s="150">
        <f>($Y$4/(1+$S27)^$L$4+$Y$5/(1+$S27)^$L$5+$Y$6/(1+$S27)^$L$6+$Y$7/(1+$S27)^$L$7+$Y$8/(1+$S27)^$L$8)+($Y$11/($S27-T$26)/(1+$S27)^$L$8)+($Z$4/(1+$Y$29)^$L$4+$Z$5/(1+$Y$29)^$L$5+$Z$6/(1+$Y$29)^$L$6+$Z$7/(1+$Y$29)^$L$7+$Z$8/(1+$Y$29)^$L$8)+($Z$11/($Y$29-T$26)/(1+$Y$29)^$L$8)</f>
        <v>216.03420167961571</v>
      </c>
      <c r="U27" s="150">
        <f>($Y$4/(1+$S27)^$L$4+$Y$5/(1+$S27)^$L$5+$Y$6/(1+$S27)^$L$6+$Y$7/(1+$S27)^$L$7+$Y$8/(1+$S27)^$L$8)+($Y$12/($S27-U$26)/(1+$S27)^$L$8)+($Z$4/(1+$Y$29)^$L$4+$Z$5/(1+$Y$29)^$L$5+$Z$6/(1+$Y$29)^$L$6+$Z$7/(1+$Y$29)^$L$7+$Z$8/(1+$Y$29)^$L$8)+($Z$12/($Y$29-U$26)/(1+$Y$29)^$L$8)</f>
        <v>208.27238967183177</v>
      </c>
      <c r="V27" s="150">
        <f>($Y$4/(1+$S27)^$L$4+$Y$5/(1+$S27)^$L$5+$Y$6/(1+$S27)^$L$6+$Y$7/(1+$S27)^$L$7+$Y$8/(1+$S27)^$L$8)+($Y$13/($S27-V$26)/(1+$S27)^$L$8)+($Z$4/(1+$Y$29)^$L$4+$Z$5/(1+$Y$29)^$L$5+$Z$6/(1+$Y$29)^$L$6+$Z$7/(1+$Y$29)^$L$7+$Z$8/(1+$Y$29)^$L$8)+($Z$13/($Y$29-V$26)/(1+$Y$29)^$L$8)</f>
        <v>176.78805178503788</v>
      </c>
      <c r="W27" s="150">
        <f>($Y$4/(1+$S27)^$L$4+$Y$5/(1+$S27)^$L$5+$Y$6/(1+$S27)^$L$6+$Y$7/(1+$S27)^$L$7+$Y$8/(1+$S27)^$L$8)+($Y$14/($S27-W$26)/(1+$S27)^$L$8)+($Z$4/(1+$Y$29)^$L$4+$Z$5/(1+$Y$29)^$L$5+$Z$6/(1+$Y$29)^$L$6+$Z$7/(1+$Y$29)^$L$7+$Z$8/(1+$Y$29)^$L$8)+($Z$14/($Y$29-W$26)/(1+$Y$29)^$L$8)</f>
        <v>166.75495146943231</v>
      </c>
      <c r="X27" s="150">
        <f>($Y$4/(1+$S27)^$L$4+$Y$5/(1+$S27)^$L$5+$Y$6/(1+$S27)^$L$6+$Y$7/(1+$S27)^$L$7+$Y$8/(1+$S27)^$L$8)+($Y$15/($S27-X$26)/(1+$S27)^$L$8)+($Z$4/(1+$Y$29)^$L$4+$Z$5/(1+$Y$29)^$L$5+$Z$6/(1+$Y$29)^$L$6+$Z$7/(1+$Y$29)^$L$7+$Z$8/(1+$Y$29)^$L$8)+($Z$15/($Y$29-X$26)/(1+$Y$29)^$L$8)</f>
        <v>159.51811383385353</v>
      </c>
      <c r="Y27" s="231"/>
      <c r="Z27" s="163"/>
      <c r="AA27" s="154">
        <f>AA28-$I$2</f>
        <v>7.9999999999999988E-2</v>
      </c>
      <c r="AB27" s="152">
        <f>($Y$4/(1+$AA27)^$L$4+$Y$5/(1+$AA27)^$L$5+$Y$6/(1+$AA27)^$L$6+$Y$7/(1+$AA27)^$L$7+$Y$8/(1+$AA27)^$L$8)+($S$11*$AG$30)/(1+$AA27)^$L$8</f>
        <v>196.0948843500687</v>
      </c>
      <c r="AC27" s="152">
        <f>($Y$4/(1+$AA27)^$L$4+$Y$5/(1+$AA27)^$L$5+$Y$6/(1+$AA27)^$L$6+$Y$7/(1+$AA27)^$L$7+$Y$8/(1+$AA27)^$L$8)+($S$12*$AG$30)/(1+$AA27)^$L$8</f>
        <v>194.28898018676733</v>
      </c>
      <c r="AD27" s="152">
        <f>($Y$4/(1+$AA27)^$L$4+$Y$5/(1+$AA27)^$L$5+$Y$6/(1+$AA27)^$L$6+$Y$7/(1+$AA27)^$L$7+$Y$8/(1+$AA27)^$L$8)+($S$13*$AG$30)/(1+$AA27)^$L$8</f>
        <v>192.483076023466</v>
      </c>
      <c r="AE27" s="152">
        <f>($Y$4/(1+$AA27)^$L$4+$Y$5/(1+$AA27)^$L$5+$Y$6/(1+$AA27)^$L$6+$Y$7/(1+$AA27)^$L$7+$Y$8/(1+$AA27)^$L$8)+($S$14*$AG$30)/(1+$AA27)^$L$8</f>
        <v>190.67717186016455</v>
      </c>
      <c r="AF27" s="152">
        <f>($Y$4/(1+$AA27)^$L$4+$Y$5/(1+$AA27)^$L$5+$Y$6/(1+$AA27)^$L$6+$Y$7/(1+$AA27)^$L$7+$Y$8/(1+$AA27)^$L$8)+($S$15*$AG$30)/(1+$AA27)^$L$8</f>
        <v>188.87126769686327</v>
      </c>
      <c r="AG27" s="232"/>
    </row>
    <row r="28" spans="1:33" ht="15" customHeight="1" x14ac:dyDescent="0.25">
      <c r="A28" s="238"/>
      <c r="B28" s="146">
        <f>B29-$I$2</f>
        <v>9.9999999999999992E-2</v>
      </c>
      <c r="C28" s="147">
        <f>($Y$4/(1+$B28)^$L$4+$Y$5/(1+$B28)^$L$5+$Y$6/(1+$B28)^$L$6+$Y$7/(1+$B28)^$L$7+$Y$8/(1+$B28)^$L$8)+($V$11*(1-C$26/$AA$11)/($B28-C$26)/(1+$B28)^$L$8)</f>
        <v>107.07989798515851</v>
      </c>
      <c r="D28" s="147">
        <f>($Y$4/(1+$B28)^$L$4+$Y$5/(1+$B28)^$L$5+$Y$6/(1+$B28)^$L$6+$Y$7/(1+$B28)^$L$7+$Y$8/(1+$B28)^$L$8)+($V$12*(1-D$26/$AA$12)/($B28-D$26)/(1+$B28)^$L$8)</f>
        <v>107.79356972981333</v>
      </c>
      <c r="E28" s="147">
        <f>($Y$4/(1+$B28)^$L$4+$Y$5/(1+$B28)^$L$5+$Y$6/(1+$B28)^$L$6+$Y$7/(1+$B28)^$L$7+$Y$8/(1+$B28)^$L$8)+($V$13*(1-E$26/$AA$13)/($B28-E$26)/(1+$B28)^$L$8)</f>
        <v>108.00078739463447</v>
      </c>
      <c r="F28" s="147">
        <f>($Y$4/(1+$B28)^$L$4+$Y$5/(1+$B28)^$L$5+$Y$6/(1+$B28)^$L$6+$Y$7/(1+$B28)^$L$7+$Y$8/(1+$B28)^$L$8)+($V$14*(1-F$26/$AA$14)/($B28-F$26)/(1+$B28)^$L$8)</f>
        <v>107.89147125955942</v>
      </c>
      <c r="G28" s="147">
        <f>($Y$4/(1+$B28)^$L$4+$Y$5/(1+$B28)^$L$5+$Y$6/(1+$B28)^$L$6+$Y$7/(1+$B28)^$L$7+$Y$8/(1+$B28)^$L$8)+($V$15*(1-G$26/$AA$15)/($B28-G$26)/(1+$B28)^$L$8)</f>
        <v>107.57113259122042</v>
      </c>
      <c r="H28" s="223"/>
      <c r="J28" s="146">
        <f>J29-$I$2</f>
        <v>9.9999999999999992E-2</v>
      </c>
      <c r="K28" s="147">
        <f>($Y$4/(1+$J28)^$L$4+$Y$5/(1+$J28)^$L$5+$Y$6/(1+$J28)^$L$6+$Y$7/(1+$J28)^$L$7+$Y$8/(1+$J28)^$L$8)+($V$11*(1-K$26/($AA$11-$I$3))/($J28-K$26)/(1+$J28)^$L$8)</f>
        <v>77.601044850304518</v>
      </c>
      <c r="L28" s="147">
        <f>($Y$4/(1+$J28)^$L$4+$Y$5/(1+$J28)^$L$5+$Y$6/(1+$J28)^$L$6+$Y$7/(1+$J28)^$L$7+$Y$8/(1+$J28)^$L$8)+($V$12*(1-L$26/($AA$12-$I$3))/($J28-L$26)/(1+$J28)^$L$8)</f>
        <v>88.328168294735136</v>
      </c>
      <c r="M28" s="147">
        <f>($Y$4/(1+$J28)^$L$4+$Y$5/(1+$J28)^$L$5+$Y$6/(1+$J28)^$L$6+$Y$7/(1+$J28)^$L$7+$Y$8/(1+$J28)^$L$8)+($V$13*(1-M$26/($AA$13-$I$3))/($J28-M$26)/(1+$J28)^$L$8)</f>
        <v>95.60763689304278</v>
      </c>
      <c r="N28" s="147">
        <f>($Y$4/(1+$J28)^$L$4+$Y$5/(1+$J28)^$L$5+$Y$6/(1+$J28)^$L$6+$Y$7/(1+$J28)^$L$7+$Y$8/(1+$J28)^$L$8)+($V$14*(1-N$26/($AA$14-$I$3))/($J28-N$26)/(1+$J28)^$L$8)</f>
        <v>100.73232121252343</v>
      </c>
      <c r="O28" s="147">
        <f>($Y$4/(1+$J28)^$L$4+$Y$5/(1+$J28)^$L$5+$Y$6/(1+$J28)^$L$6+$Y$7/(1+$J28)^$L$7+$Y$8/(1+$J28)^$L$8)+($V$15*(1-O$26/($AA$15-$I$3))/($J28-O$26)/(1+$J28)^$L$8)</f>
        <v>104.42048267945296</v>
      </c>
      <c r="P28" s="230"/>
      <c r="Q28" s="164"/>
      <c r="R28" s="234"/>
      <c r="S28" s="149">
        <f>S29-$I$2</f>
        <v>9.9999999999999992E-2</v>
      </c>
      <c r="T28" s="150">
        <f>($Y$4/(1+$S28)^$L$4+$Y$5/(1+$S28)^$L$5+$Y$6/(1+$S28)^$L$6+$Y$7/(1+$S28)^$L$7+$Y$8/(1+$S28)^$L$8)+($Y$11/($S28-T$26)/(1+$S28)^$L$8)+($Z$4/(1+$Y$29)^$L$4+$Z$5/(1+$Y$29)^$L$5+$Z$6/(1+$Y$29)^$L$6+$Z$7/(1+$Y$29)^$L$7+$Z$8/(1+$Y$29)^$L$8)+($Z$11/($Y$29-T$26)/(1+$Y$29)^$L$8)</f>
        <v>127.69116852373878</v>
      </c>
      <c r="U28" s="150">
        <f>($Y$4/(1+$S28)^$L$4+$Y$5/(1+$S28)^$L$5+$Y$6/(1+$S28)^$L$6+$Y$7/(1+$S28)^$L$7+$Y$8/(1+$S28)^$L$8)+($Y$12/($S28-U$26)/(1+$S28)^$L$8)+($Z$4/(1+$Y$29)^$L$4+$Z$5/(1+$Y$29)^$L$5+$Z$6/(1+$Y$29)^$L$6+$Z$7/(1+$Y$29)^$L$7+$Z$8/(1+$Y$29)^$L$8)+($Z$12/($Y$29-U$26)/(1+$Y$29)^$L$8)</f>
        <v>133.97439656945156</v>
      </c>
      <c r="V28" s="150">
        <f t="shared" ref="V28:V31" si="6">($Y$4/(1+$S28)^$L$4+$Y$5/(1+$S28)^$L$5+$Y$6/(1+$S28)^$L$6+$Y$7/(1+$S28)^$L$7+$Y$8/(1+$S28)^$L$8)+($Y$13/($S28-V$26)/(1+$S28)^$L$8)+($Z$4/(1+$Y$29)^$L$4+$Z$5/(1+$Y$29)^$L$5+$Z$6/(1+$Y$29)^$L$6+$Z$7/(1+$Y$29)^$L$7+$Z$8/(1+$Y$29)^$L$8)+($Z$13/($Y$29-V$26)/(1+$Y$29)^$L$8)</f>
        <v>121.13393018985983</v>
      </c>
      <c r="W28" s="150">
        <f t="shared" ref="W28:W31" si="7">($Y$4/(1+$S28)^$L$4+$Y$5/(1+$S28)^$L$5+$Y$6/(1+$S28)^$L$6+$Y$7/(1+$S28)^$L$7+$Y$8/(1+$S28)^$L$8)+($Y$14/($S28-W$26)/(1+$S28)^$L$8)+($Z$4/(1+$Y$29)^$L$4+$Z$5/(1+$Y$29)^$L$5+$Z$6/(1+$Y$29)^$L$6+$Z$7/(1+$Y$29)^$L$7+$Z$8/(1+$Y$29)^$L$8)+($Z$14/($Y$29-W$26)/(1+$Y$29)^$L$8)</f>
        <v>119.08479321052261</v>
      </c>
      <c r="X28" s="150">
        <f t="shared" ref="X28:X31" si="8">($Y$4/(1+$S28)^$L$4+$Y$5/(1+$S28)^$L$5+$Y$6/(1+$S28)^$L$6+$Y$7/(1+$S28)^$L$7+$Y$8/(1+$S28)^$L$8)+($Y$15/($S28-X$26)/(1+$S28)^$L$8)+($Z$4/(1+$Y$29)^$L$4+$Z$5/(1+$Y$29)^$L$5+$Z$6/(1+$Y$29)^$L$6+$Z$7/(1+$Y$29)^$L$7+$Z$8/(1+$Y$29)^$L$8)+($Z$15/($Y$29-X$26)/(1+$Y$29)^$L$8)</f>
        <v>117.49102000437155</v>
      </c>
      <c r="Y28" s="231"/>
      <c r="Z28" s="163"/>
      <c r="AA28" s="154">
        <f>AA29-$I$2</f>
        <v>9.9999999999999992E-2</v>
      </c>
      <c r="AB28" s="152">
        <f>($Y$4/(1+$AA28)^$L$4+$Y$5/(1+$AA28)^$L$5+$Y$6/(1+$AA28)^$L$6+$Y$7/(1+$AA28)^$L$7+$Y$8/(1+$AA28)^$L$8)+($S$11*$AG$30)/(1+$AA28)^$L$8</f>
        <v>179.04296897389054</v>
      </c>
      <c r="AC28" s="152">
        <f>($Y$4/(1+$AA28)^$L$4+$Y$5/(1+$AA28)^$L$5+$Y$6/(1+$AA28)^$L$6+$Y$7/(1+$AA28)^$L$7+$Y$8/(1+$AA28)^$L$8)+($S$12*$AG$30)/(1+$AA28)^$L$8</f>
        <v>177.39537554625039</v>
      </c>
      <c r="AD28" s="152">
        <f>($Y$4/(1+$AA28)^$L$4+$Y$5/(1+$AA28)^$L$5+$Y$6/(1+$AA28)^$L$6+$Y$7/(1+$AA28)^$L$7+$Y$8/(1+$AA28)^$L$8)+($S$13*$AG$30)/(1+$AA28)^$L$8</f>
        <v>175.7477821186103</v>
      </c>
      <c r="AE28" s="152">
        <f>($Y$4/(1+$AA28)^$L$4+$Y$5/(1+$AA28)^$L$5+$Y$6/(1+$AA28)^$L$6+$Y$7/(1+$AA28)^$L$7+$Y$8/(1+$AA28)^$L$8)+($S$14*$AG$30)/(1+$AA28)^$L$8</f>
        <v>174.1001886909701</v>
      </c>
      <c r="AF28" s="152">
        <f>($Y$4/(1+$AA28)^$L$4+$Y$5/(1+$AA28)^$L$5+$Y$6/(1+$AA28)^$L$6+$Y$7/(1+$AA28)^$L$7+$Y$8/(1+$AA28)^$L$8)+($S$15*$AG$30)/(1+$AA28)^$L$8</f>
        <v>172.45259526333004</v>
      </c>
      <c r="AG28" s="232"/>
    </row>
    <row r="29" spans="1:33" ht="15" customHeight="1" x14ac:dyDescent="0.25">
      <c r="A29" s="238"/>
      <c r="B29" s="146">
        <f>$I$10</f>
        <v>0.12</v>
      </c>
      <c r="C29" s="147">
        <f>($Y$4/(1+$B29)^$L$4+$Y$5/(1+$B29)^$L$5+$Y$6/(1+$B29)^$L$6+$Y$7/(1+$B29)^$L$7+$Y$8/(1+$B29)^$L$8)+($V$11*(1-C$26/$AA$11)/($B29-C$26)/(1+$B29)^$L$8)</f>
        <v>71.603536339421609</v>
      </c>
      <c r="D29" s="147">
        <f>($Y$4/(1+$B29)^$L$4+$Y$5/(1+$B29)^$L$5+$Y$6/(1+$B29)^$L$6+$Y$7/(1+$B29)^$L$7+$Y$8/(1+$B29)^$L$8)+($V$12*(1-D$26/$AA$12)/($B29-D$26)/(1+$B29)^$L$8)</f>
        <v>75.390169021805235</v>
      </c>
      <c r="E29" s="147">
        <f>($Y$4/(1+$B29)^$L$4+$Y$5/(1+$B29)^$L$5+$Y$6/(1+$B29)^$L$6+$Y$7/(1+$B29)^$L$7+$Y$8/(1+$B29)^$L$8)+($V$13*(1-E$26/$AA$13)/($B29-E$26)/(1+$B29)^$L$8)</f>
        <v>78.12028594905388</v>
      </c>
      <c r="F29" s="147">
        <f>($Y$4/(1+$B29)^$L$4+$Y$5/(1+$B29)^$L$5+$Y$6/(1+$B29)^$L$6+$Y$7/(1+$B29)^$L$7+$Y$8/(1+$B29)^$L$8)+($V$14*(1-F$26/$AA$14)/($B29-F$26)/(1+$B29)^$L$8)</f>
        <v>80.110841847707974</v>
      </c>
      <c r="G29" s="147">
        <f>($Y$4/(1+$B29)^$L$4+$Y$5/(1+$B29)^$L$5+$Y$6/(1+$B29)^$L$6+$Y$7/(1+$B29)^$L$7+$Y$8/(1+$B29)^$L$8)+($V$15*(1-G$26/$AA$15)/($B29-G$26)/(1+$B29)^$L$8)</f>
        <v>81.563535180111629</v>
      </c>
      <c r="H29" s="223"/>
      <c r="J29" s="146">
        <f>$I$10</f>
        <v>0.12</v>
      </c>
      <c r="K29" s="147">
        <f>($Y$4/(1+$J29)^$L$4+$Y$5/(1+$J29)^$L$5+$Y$6/(1+$J29)^$L$6+$Y$7/(1+$J29)^$L$7+$Y$8/(1+$J29)^$L$8)+($V$11*(1-K$26/($AA$11-$I$3))/($J29-K$26)/(1+$J29)^$L$8)</f>
        <v>52.361286012244726</v>
      </c>
      <c r="L29" s="147">
        <f>($Y$4/(1+$J29)^$L$4+$Y$5/(1+$J29)^$L$5+$Y$6/(1+$J29)^$L$6+$Y$7/(1+$J29)^$L$7+$Y$8/(1+$J29)^$L$8)+($V$12*(1-L$26/($AA$12-$I$3))/($J29-L$26)/(1+$J29)^$L$8)</f>
        <v>62.048875461629258</v>
      </c>
      <c r="M29" s="147">
        <f>($Y$4/(1+$J29)^$L$4+$Y$5/(1+$J29)^$L$5+$Y$6/(1+$J29)^$L$6+$Y$7/(1+$J29)^$L$7+$Y$8/(1+$J29)^$L$8)+($V$13*(1-M$26/($AA$13-$I$3))/($J29-M$26)/(1+$J29)^$L$8)</f>
        <v>69.311611354835136</v>
      </c>
      <c r="N29" s="147">
        <f>($Y$4/(1+$J29)^$L$4+$Y$5/(1+$J29)^$L$5+$Y$6/(1+$J29)^$L$6+$Y$7/(1+$J29)^$L$7+$Y$8/(1+$J29)^$L$8)+($V$14*(1-N$26/($AA$14-$I$3))/($J29-N$26)/(1+$J29)^$L$8)</f>
        <v>74.876949758715853</v>
      </c>
      <c r="O29" s="147">
        <f>($Y$4/(1+$J29)^$L$4+$Y$5/(1+$J29)^$L$5+$Y$6/(1+$J29)^$L$6+$Y$7/(1+$J29)^$L$7+$Y$8/(1+$J29)^$L$8)+($V$15*(1-O$26/($AA$15-$I$3))/($J29-O$26)/(1+$J29)^$L$8)</f>
        <v>79.207817261269355</v>
      </c>
      <c r="P29" s="235">
        <f>$AA$11-$I$3</f>
        <v>7.5434645059972355E-2</v>
      </c>
      <c r="Q29" s="165"/>
      <c r="R29" s="234"/>
      <c r="S29" s="149">
        <f>$I$10</f>
        <v>0.12</v>
      </c>
      <c r="T29" s="150">
        <f>($Y$4/(1+$S29)^$L$4+$Y$5/(1+$S29)^$L$5+$Y$6/(1+$S29)^$L$6+$Y$7/(1+$S29)^$L$7+$Y$8/(1+$S29)^$L$8)+($Y$11/($S29-T$26)/(1+$S29)^$L$8)+($Z$4/(1+$Y$29)^$L$4+$Z$5/(1+$Y$29)^$L$5+$Z$6/(1+$Y$29)^$L$6+$Z$7/(1+$Y$29)^$L$7+$Z$8/(1+$Y$29)^$L$8)+($Z$11/($Y$29-T$26)/(1+$Y$29)^$L$8)</f>
        <v>90.376248546056559</v>
      </c>
      <c r="U29" s="150">
        <f>($Y$4/(1+$S29)^$L$4+$Y$5/(1+$S29)^$L$5+$Y$6/(1+$S29)^$L$6+$Y$7/(1+$S29)^$L$7+$Y$8/(1+$S29)^$L$8)+($Y$12/($S29-U$26)/(1+$S29)^$L$8)+($Z$4/(1+$Y$29)^$L$4+$Z$5/(1+$Y$29)^$L$5+$Z$6/(1+$Y$29)^$L$6+$Z$7/(1+$Y$29)^$L$7+$Z$8/(1+$Y$29)^$L$8)+($Z$12/($Y$29-U$26)/(1+$Y$29)^$L$8)</f>
        <v>97.502374198353593</v>
      </c>
      <c r="V29" s="150">
        <f t="shared" si="6"/>
        <v>90.859651558164657</v>
      </c>
      <c r="W29" s="150">
        <f t="shared" si="7"/>
        <v>91.161780317579115</v>
      </c>
      <c r="X29" s="150">
        <f t="shared" si="8"/>
        <v>91.453736745375068</v>
      </c>
      <c r="Y29" s="236">
        <f>'Mkt Val with BOP and required r'!$J$7-$I$2</f>
        <v>9.9999999999999992E-2</v>
      </c>
      <c r="Z29" s="163"/>
      <c r="AA29" s="154">
        <f>$I$10</f>
        <v>0.12</v>
      </c>
      <c r="AB29" s="152">
        <f>($Y$4/(1+$AA29)^$L$4+$Y$5/(1+$AA29)^$L$5+$Y$6/(1+$AA29)^$L$6+$Y$7/(1+$AA29)^$L$7+$Y$8/(1+$AA29)^$L$8)+($S$11*$AG$30)/(1+$AA29)^$L$8</f>
        <v>163.74668828221465</v>
      </c>
      <c r="AC29" s="152">
        <f>($Y$4/(1+$AA29)^$L$4+$Y$5/(1+$AA29)^$L$5+$Y$6/(1+$AA29)^$L$6+$Y$7/(1+$AA29)^$L$7+$Y$8/(1+$AA29)^$L$8)+($S$12*$AG$30)/(1+$AA29)^$L$8</f>
        <v>162.24104058832893</v>
      </c>
      <c r="AD29" s="152">
        <f>($Y$4/(1+$AA29)^$L$4+$Y$5/(1+$AA29)^$L$5+$Y$6/(1+$AA29)^$L$6+$Y$7/(1+$AA29)^$L$7+$Y$8/(1+$AA29)^$L$8)+($S$13*$AG$30)/(1+$AA29)^$L$8</f>
        <v>160.73539289444329</v>
      </c>
      <c r="AE29" s="152">
        <f>($Y$4/(1+$AA29)^$L$4+$Y$5/(1+$AA29)^$L$5+$Y$6/(1+$AA29)^$L$6+$Y$7/(1+$AA29)^$L$7+$Y$8/(1+$AA29)^$L$8)+($S$14*$AG$30)/(1+$AA29)^$L$8</f>
        <v>159.22974520055752</v>
      </c>
      <c r="AF29" s="152">
        <f>($Y$4/(1+$AA29)^$L$4+$Y$5/(1+$AA29)^$L$5+$Y$6/(1+$AA29)^$L$6+$Y$7/(1+$AA29)^$L$7+$Y$8/(1+$AA29)^$L$8)+($S$15*$AG$30)/(1+$AA29)^$L$8</f>
        <v>157.72409750667191</v>
      </c>
      <c r="AG29" s="232"/>
    </row>
    <row r="30" spans="1:33" ht="15" customHeight="1" x14ac:dyDescent="0.25">
      <c r="A30" s="238"/>
      <c r="B30" s="146">
        <f>B29+$I$2</f>
        <v>0.13999999999999999</v>
      </c>
      <c r="C30" s="147">
        <f>($Y$4/(1+$B30)^$L$4+$Y$5/(1+$B30)^$L$5+$Y$6/(1+$B30)^$L$6+$Y$7/(1+$B30)^$L$7+$Y$8/(1+$B30)^$L$8)+($V$11*(1-C$26/$AA$11)/($B30-C$26)/(1+$B30)^$L$8)</f>
        <v>52.245043309201279</v>
      </c>
      <c r="D30" s="147">
        <f>($Y$4/(1+$B30)^$L$4+$Y$5/(1+$B30)^$L$5+$Y$6/(1+$B30)^$L$6+$Y$7/(1+$B30)^$L$7+$Y$8/(1+$B30)^$L$8)+($V$12*(1-D$26/$AA$12)/($B30-D$26)/(1+$B30)^$L$8)</f>
        <v>56.359209975591604</v>
      </c>
      <c r="E30" s="147">
        <f>($Y$4/(1+$B30)^$L$4+$Y$5/(1+$B30)^$L$5+$Y$6/(1+$B30)^$L$6+$Y$7/(1+$B30)^$L$7+$Y$8/(1+$B30)^$L$8)+($V$13*(1-E$26/$AA$13)/($B30-E$26)/(1+$B30)^$L$8)</f>
        <v>59.564304537738039</v>
      </c>
      <c r="F30" s="147">
        <f>($Y$4/(1+$B30)^$L$4+$Y$5/(1+$B30)^$L$5+$Y$6/(1+$B30)^$L$6+$Y$7/(1+$B30)^$L$7+$Y$8/(1+$B30)^$L$8)+($V$14*(1-F$26/$AA$14)/($B30-F$26)/(1+$B30)^$L$8)</f>
        <v>62.087595021701482</v>
      </c>
      <c r="G30" s="147">
        <f>($Y$4/(1+$B30)^$L$4+$Y$5/(1+$B30)^$L$5+$Y$6/(1+$B30)^$L$6+$Y$7/(1+$B30)^$L$7+$Y$8/(1+$B30)^$L$8)+($V$15*(1-G$26/$AA$15)/($B30-G$26)/(1+$B30)^$L$8)</f>
        <v>64.086420830139687</v>
      </c>
      <c r="H30" s="239">
        <f>$AA$11</f>
        <v>9.5434645059972359E-2</v>
      </c>
      <c r="J30" s="146">
        <f>J29+$I$2</f>
        <v>0.13999999999999999</v>
      </c>
      <c r="K30" s="147">
        <f>($Y$4/(1+$J30)^$L$4+$Y$5/(1+$J30)^$L$5+$Y$6/(1+$J30)^$L$6+$Y$7/(1+$J30)^$L$7+$Y$8/(1+$J30)^$L$8)+($V$11*(1-K$26/($AA$11-$I$3))/($J30-K$26)/(1+$J30)^$L$8)</f>
        <v>38.546409779632448</v>
      </c>
      <c r="L30" s="147">
        <f>($Y$4/(1+$J30)^$L$4+$Y$5/(1+$J30)^$L$5+$Y$6/(1+$J30)^$L$6+$Y$7/(1+$J30)^$L$7+$Y$8/(1+$J30)^$L$8)+($V$12*(1-L$26/($AA$12-$I$3))/($J30-L$26)/(1+$J30)^$L$8)</f>
        <v>46.590127321361933</v>
      </c>
      <c r="M30" s="147">
        <f>($Y$4/(1+$J30)^$L$4+$Y$5/(1+$J30)^$L$5+$Y$6/(1+$J30)^$L$6+$Y$7/(1+$J30)^$L$7+$Y$8/(1+$J30)^$L$8)+($V$13*(1-M$26/($AA$13-$I$3))/($J30-M$26)/(1+$J30)^$L$8)</f>
        <v>52.967611923758646</v>
      </c>
      <c r="N30" s="147">
        <f>($Y$4/(1+$J30)^$L$4+$Y$5/(1+$J30)^$L$5+$Y$6/(1+$J30)^$L$6+$Y$7/(1+$J30)^$L$7+$Y$8/(1+$J30)^$L$8)+($V$14*(1-N$26/($AA$14-$I$3))/($J30-N$26)/(1+$J30)^$L$8)</f>
        <v>58.095421821655698</v>
      </c>
      <c r="O30" s="147">
        <f>($Y$4/(1+$J30)^$L$4+$Y$5/(1+$J30)^$L$5+$Y$6/(1+$J30)^$L$6+$Y$7/(1+$J30)^$L$7+$Y$8/(1+$J30)^$L$8)+($V$15*(1-O$26/($AA$15-$I$3))/($J30-O$26)/(1+$J30)^$L$8)</f>
        <v>62.261943485322384</v>
      </c>
      <c r="P30" s="235"/>
      <c r="Q30" s="165"/>
      <c r="R30" s="234"/>
      <c r="S30" s="149">
        <f>S29+$I$2</f>
        <v>0.13999999999999999</v>
      </c>
      <c r="T30" s="150">
        <f>($Y$4/(1+$S30)^$L$4+$Y$5/(1+$S30)^$L$5+$Y$6/(1+$S30)^$L$6+$Y$7/(1+$S30)^$L$7+$Y$8/(1+$S30)^$L$8)+($Y$11/($S30-T$26)/(1+$S30)^$L$8)+($Z$4/(1+$Y$29)^$L$4+$Z$5/(1+$Y$29)^$L$5+$Z$6/(1+$Y$29)^$L$6+$Z$7/(1+$Y$29)^$L$7+$Z$8/(1+$Y$29)^$L$8)+($Z$11/($Y$29-T$26)/(1+$Y$29)^$L$8)</f>
        <v>70.022087026607522</v>
      </c>
      <c r="U30" s="150">
        <f>($Y$4/(1+$S30)^$L$4+$Y$5/(1+$S30)^$L$5+$Y$6/(1+$S30)^$L$6+$Y$7/(1+$S30)^$L$7+$Y$8/(1+$S30)^$L$8)+($Y$12/($S30-U$26)/(1+$S30)^$L$8)+($Z$4/(1+$Y$29)^$L$4+$Z$5/(1+$Y$29)^$L$5+$Z$6/(1+$Y$29)^$L$6+$Z$7/(1+$Y$29)^$L$7+$Z$8/(1+$Y$29)^$L$8)+($Z$12/($Y$29-U$26)/(1+$Y$29)^$L$8)</f>
        <v>76.098175657678723</v>
      </c>
      <c r="V30" s="150">
        <f t="shared" si="6"/>
        <v>72.060670036812297</v>
      </c>
      <c r="W30" s="150">
        <f t="shared" si="7"/>
        <v>73.046701507600147</v>
      </c>
      <c r="X30" s="150">
        <f t="shared" si="8"/>
        <v>73.956783809193723</v>
      </c>
      <c r="Y30" s="236"/>
      <c r="Z30" s="163"/>
      <c r="AA30" s="154">
        <f>AA29+$I$2</f>
        <v>0.13999999999999999</v>
      </c>
      <c r="AB30" s="152">
        <f>($Y$4/(1+$AA30)^$L$4+$Y$5/(1+$AA30)^$L$5+$Y$6/(1+$AA30)^$L$6+$Y$7/(1+$AA30)^$L$7+$Y$8/(1+$AA30)^$L$8)+($S$11*$AG$30)/(1+$AA30)^$L$8</f>
        <v>149.99840989764255</v>
      </c>
      <c r="AC30" s="152">
        <f>($Y$4/(1+$AA30)^$L$4+$Y$5/(1+$AA30)^$L$5+$Y$6/(1+$AA30)^$L$6+$Y$7/(1+$AA30)^$L$7+$Y$8/(1+$AA30)^$L$8)+($S$12*$AG$30)/(1+$AA30)^$L$8</f>
        <v>148.62028296570605</v>
      </c>
      <c r="AD30" s="152">
        <f>($Y$4/(1+$AA30)^$L$4+$Y$5/(1+$AA30)^$L$5+$Y$6/(1+$AA30)^$L$6+$Y$7/(1+$AA30)^$L$7+$Y$8/(1+$AA30)^$L$8)+($S$13*$AG$30)/(1+$AA30)^$L$8</f>
        <v>147.24215603376956</v>
      </c>
      <c r="AE30" s="152">
        <f>($Y$4/(1+$AA30)^$L$4+$Y$5/(1+$AA30)^$L$5+$Y$6/(1+$AA30)^$L$6+$Y$7/(1+$AA30)^$L$7+$Y$8/(1+$AA30)^$L$8)+($S$14*$AG$30)/(1+$AA30)^$L$8</f>
        <v>145.86402910183301</v>
      </c>
      <c r="AF30" s="152">
        <f>($Y$4/(1+$AA30)^$L$4+$Y$5/(1+$AA30)^$L$5+$Y$6/(1+$AA30)^$L$6+$Y$7/(1+$AA30)^$L$7+$Y$8/(1+$AA30)^$L$8)+($S$15*$AG$30)/(1+$AA30)^$L$8</f>
        <v>144.48590216989658</v>
      </c>
      <c r="AG30" s="240">
        <f>'Fin Stmt'!P44-'Val Matrix - Investor r'!I7</f>
        <v>10.76033478951298</v>
      </c>
    </row>
    <row r="31" spans="1:33" ht="15" customHeight="1" x14ac:dyDescent="0.25">
      <c r="A31" s="238"/>
      <c r="B31" s="146">
        <f>B30+$I$2</f>
        <v>0.15999999999999998</v>
      </c>
      <c r="C31" s="147">
        <f>($Y$4/(1+$B31)^$L$4+$Y$5/(1+$B31)^$L$5+$Y$6/(1+$B31)^$L$6+$Y$7/(1+$B31)^$L$7+$Y$8/(1+$B31)^$L$8)+($V$11*(1-C$26/$AA$11)/($B31-C$26)/(1+$B31)^$L$8)</f>
        <v>40.180740418111498</v>
      </c>
      <c r="D31" s="147">
        <f>($Y$4/(1+$B31)^$L$4+$Y$5/(1+$B31)^$L$5+$Y$6/(1+$B31)^$L$6+$Y$7/(1+$B31)^$L$7+$Y$8/(1+$B31)^$L$8)+($V$12*(1-D$26/$AA$12)/($B31-D$26)/(1+$B31)^$L$8)</f>
        <v>43.975789271977852</v>
      </c>
      <c r="E31" s="147">
        <f>($Y$4/(1+$B31)^$L$4+$Y$5/(1+$B31)^$L$5+$Y$6/(1+$B31)^$L$6+$Y$7/(1+$B31)^$L$7+$Y$8/(1+$B31)^$L$8)+($V$13*(1-E$26/$AA$13)/($B31-E$26)/(1+$B31)^$L$8)</f>
        <v>47.062067249719895</v>
      </c>
      <c r="F31" s="147">
        <f>($Y$4/(1+$B31)^$L$4+$Y$5/(1+$B31)^$L$5+$Y$6/(1+$B31)^$L$6+$Y$7/(1+$B31)^$L$7+$Y$8/(1+$B31)^$L$8)+($V$14*(1-F$26/$AA$14)/($B31-F$26)/(1+$B31)^$L$8)</f>
        <v>49.591453824792787</v>
      </c>
      <c r="G31" s="147">
        <f>($Y$4/(1+$B31)^$L$4+$Y$5/(1+$B31)^$L$5+$Y$6/(1+$B31)^$L$6+$Y$7/(1+$B31)^$L$7+$Y$8/(1+$B31)^$L$8)+($V$15*(1-G$26/$AA$15)/($B31-G$26)/(1+$B31)^$L$8)</f>
        <v>51.675327277730446</v>
      </c>
      <c r="H31" s="239"/>
      <c r="J31" s="146">
        <f>J30+$I$2</f>
        <v>0.15999999999999998</v>
      </c>
      <c r="K31" s="147">
        <f>($Y$4/(1+$J31)^$L$4+$Y$5/(1+$J31)^$L$5+$Y$6/(1+$J31)^$L$6+$Y$7/(1+$J31)^$L$7+$Y$8/(1+$J31)^$L$8)+($V$11*(1-K$26/($AA$11-$I$3))/($J31-K$26)/(1+$J31)^$L$8)</f>
        <v>29.906224193913616</v>
      </c>
      <c r="L31" s="147">
        <f>($Y$4/(1+$J31)^$L$4+$Y$5/(1+$J31)^$L$5+$Y$6/(1+$J31)^$L$6+$Y$7/(1+$J31)^$L$7+$Y$8/(1+$J31)^$L$8)+($V$12*(1-L$26/($AA$12-$I$3))/($J31-L$26)/(1+$J31)^$L$8)</f>
        <v>36.512902566909673</v>
      </c>
      <c r="M31" s="147">
        <f>($Y$4/(1+$J31)^$L$4+$Y$5/(1+$J31)^$L$5+$Y$6/(1+$J31)^$L$6+$Y$7/(1+$J31)^$L$7+$Y$8/(1+$J31)^$L$8)+($V$13*(1-M$26/($AA$13-$I$3))/($J31-M$26)/(1+$J31)^$L$8)</f>
        <v>41.94513235652596</v>
      </c>
      <c r="N31" s="147">
        <f>($Y$4/(1+$J31)^$L$4+$Y$5/(1+$J31)^$L$5+$Y$6/(1+$J31)^$L$6+$Y$7/(1+$J31)^$L$7+$Y$8/(1+$J31)^$L$8)+($V$14*(1-N$26/($AA$14-$I$3))/($J31-N$26)/(1+$J31)^$L$8)</f>
        <v>46.454581116343789</v>
      </c>
      <c r="O31" s="147">
        <f>($Y$4/(1+$J31)^$L$4+$Y$5/(1+$J31)^$L$5+$Y$6/(1+$J31)^$L$6+$Y$7/(1+$J31)^$L$7+$Y$8/(1+$J31)^$L$8)+($V$15*(1-O$26/($AA$15-$I$3))/($J31-O$26)/(1+$J31)^$L$8)</f>
        <v>50.225805052322976</v>
      </c>
      <c r="P31" s="235"/>
      <c r="Q31" s="165"/>
      <c r="R31" s="234"/>
      <c r="S31" s="149">
        <f>S30+$I$2</f>
        <v>0.15999999999999998</v>
      </c>
      <c r="T31" s="150">
        <f>($Y$4/(1+$S31)^$L$4+$Y$5/(1+$S31)^$L$5+$Y$6/(1+$S31)^$L$6+$Y$7/(1+$S31)^$L$7+$Y$8/(1+$S31)^$L$8)+($Y$11/($S31-T$26)/(1+$S31)^$L$8)+($Z$4/(1+$Y$29)^$L$4+$Z$5/(1+$Y$29)^$L$5+$Z$6/(1+$Y$29)^$L$6+$Z$7/(1+$Y$29)^$L$7+$Z$8/(1+$Y$29)^$L$8)+($Z$11/($Y$29-T$26)/(1+$Y$29)^$L$8)</f>
        <v>57.342791103197825</v>
      </c>
      <c r="U31" s="150">
        <f>($Y$4/(1+$S31)^$L$4+$Y$5/(1+$S31)^$L$5+$Y$6/(1+$S31)^$L$6+$Y$7/(1+$S31)^$L$7+$Y$8/(1+$S31)^$L$8)+($Y$12/($S31-U$26)/(1+$S31)^$L$8)+($Z$4/(1+$Y$29)^$L$4+$Z$5/(1+$Y$29)^$L$5+$Z$6/(1+$Y$29)^$L$6+$Z$7/(1+$Y$29)^$L$7+$Z$8/(1+$Y$29)^$L$8)+($Z$12/($Y$29-U$26)/(1+$Y$29)^$L$8)</f>
        <v>62.182607090285167</v>
      </c>
      <c r="V31" s="150">
        <f t="shared" si="6"/>
        <v>59.395872071451159</v>
      </c>
      <c r="W31" s="150">
        <f t="shared" si="7"/>
        <v>60.487306105786338</v>
      </c>
      <c r="X31" s="150">
        <f t="shared" si="8"/>
        <v>61.531687976415128</v>
      </c>
      <c r="Y31" s="236"/>
      <c r="Z31" s="163"/>
      <c r="AA31" s="154">
        <f>AA30+$I$2</f>
        <v>0.15999999999999998</v>
      </c>
      <c r="AB31" s="152">
        <f>($Y$4/(1+$AA31)^$L$4+$Y$5/(1+$AA31)^$L$5+$Y$6/(1+$AA31)^$L$6+$Y$7/(1+$AA31)^$L$7+$Y$8/(1+$AA31)^$L$8)+($S$11*$AG$30)/(1+$AA31)^$L$8</f>
        <v>137.61811791975089</v>
      </c>
      <c r="AC31" s="152">
        <f>($Y$4/(1+$AA31)^$L$4+$Y$5/(1+$AA31)^$L$5+$Y$6/(1+$AA31)^$L$6+$Y$7/(1+$AA31)^$L$7+$Y$8/(1+$AA31)^$L$8)+($S$12*$AG$30)/(1+$AA31)^$L$8</f>
        <v>136.35476836823995</v>
      </c>
      <c r="AD31" s="152">
        <f>($Y$4/(1+$AA31)^$L$4+$Y$5/(1+$AA31)^$L$5+$Y$6/(1+$AA31)^$L$6+$Y$7/(1+$AA31)^$L$7+$Y$8/(1+$AA31)^$L$8)+($S$13*$AG$30)/(1+$AA31)^$L$8</f>
        <v>135.09141881672903</v>
      </c>
      <c r="AE31" s="152">
        <f>($Y$4/(1+$AA31)^$L$4+$Y$5/(1+$AA31)^$L$5+$Y$6/(1+$AA31)^$L$6+$Y$7/(1+$AA31)^$L$7+$Y$8/(1+$AA31)^$L$8)+($S$14*$AG$30)/(1+$AA31)^$L$8</f>
        <v>133.82806926521803</v>
      </c>
      <c r="AF31" s="152">
        <f>($Y$4/(1+$AA31)^$L$4+$Y$5/(1+$AA31)^$L$5+$Y$6/(1+$AA31)^$L$6+$Y$7/(1+$AA31)^$L$7+$Y$8/(1+$AA31)^$L$8)+($S$15*$AG$30)/(1+$AA31)^$L$8</f>
        <v>132.56471971370715</v>
      </c>
      <c r="AG31" s="240"/>
    </row>
    <row r="32" spans="1:33" ht="15" customHeight="1" x14ac:dyDescent="0.25">
      <c r="A32" s="159"/>
      <c r="B32" s="154"/>
      <c r="C32" s="152"/>
      <c r="D32" s="152"/>
      <c r="E32" s="152"/>
      <c r="F32" s="152"/>
      <c r="G32" s="152"/>
      <c r="H32" s="158"/>
      <c r="Z32" s="159"/>
      <c r="AA32" s="154"/>
      <c r="AB32" s="152"/>
      <c r="AC32" s="152"/>
      <c r="AD32" s="152"/>
      <c r="AE32" s="152"/>
      <c r="AF32" s="152"/>
      <c r="AG32" s="158"/>
    </row>
    <row r="33" spans="1:33" ht="15" customHeight="1" x14ac:dyDescent="0.25">
      <c r="A33" s="93"/>
      <c r="B33" s="148"/>
      <c r="C33" s="149">
        <f>D33+$I$5</f>
        <v>0.05</v>
      </c>
      <c r="D33" s="149">
        <f>E33+$I$5</f>
        <v>0.04</v>
      </c>
      <c r="E33" s="149">
        <f>$I$11</f>
        <v>0.03</v>
      </c>
      <c r="F33" s="149">
        <f>E33-$I$5</f>
        <v>1.9999999999999997E-2</v>
      </c>
      <c r="G33" s="149">
        <f>F33-$I$5</f>
        <v>9.9999999999999967E-3</v>
      </c>
      <c r="H33" s="224" t="s">
        <v>137</v>
      </c>
      <c r="J33" s="145"/>
      <c r="K33" s="146">
        <f>L33+$I$5</f>
        <v>0.05</v>
      </c>
      <c r="L33" s="146">
        <f>M33+$I$5</f>
        <v>0.04</v>
      </c>
      <c r="M33" s="146">
        <f>$I$11</f>
        <v>0.03</v>
      </c>
      <c r="N33" s="146">
        <f>M33-$I$5</f>
        <v>1.9999999999999997E-2</v>
      </c>
      <c r="O33" s="146">
        <f>N33-$I$5</f>
        <v>9.9999999999999967E-3</v>
      </c>
      <c r="P33" s="230" t="s">
        <v>223</v>
      </c>
      <c r="Q33" s="164"/>
      <c r="S33" s="148"/>
      <c r="T33" s="149">
        <f>U33+$I$5</f>
        <v>0.05</v>
      </c>
      <c r="U33" s="149">
        <f>V33+$I$5</f>
        <v>0.04</v>
      </c>
      <c r="V33" s="149">
        <f>$I$11</f>
        <v>0.03</v>
      </c>
      <c r="W33" s="149">
        <f>V33-$I$5</f>
        <v>1.9999999999999997E-2</v>
      </c>
      <c r="X33" s="149">
        <f>W33-$I$5</f>
        <v>9.9999999999999967E-3</v>
      </c>
      <c r="Y33" s="231" t="s">
        <v>227</v>
      </c>
      <c r="AA33" s="93"/>
      <c r="AB33" s="154">
        <f>AC33+$I$5</f>
        <v>0.05</v>
      </c>
      <c r="AC33" s="154">
        <f>AD33+$I$5</f>
        <v>0.04</v>
      </c>
      <c r="AD33" s="154">
        <f>$I$11</f>
        <v>0.03</v>
      </c>
      <c r="AE33" s="154">
        <f>AD33-$I$5</f>
        <v>1.9999999999999997E-2</v>
      </c>
      <c r="AF33" s="154">
        <f>AE33-$I$5</f>
        <v>9.9999999999999967E-3</v>
      </c>
      <c r="AG33" s="232" t="s">
        <v>225</v>
      </c>
    </row>
    <row r="34" spans="1:33" ht="15" customHeight="1" x14ac:dyDescent="0.25">
      <c r="A34" s="241" t="s">
        <v>210</v>
      </c>
      <c r="B34" s="149">
        <f>B35-$I$2</f>
        <v>7.9999999999999988E-2</v>
      </c>
      <c r="C34" s="150">
        <f>($Y$4/(1+$B34)^$L$4+$Y$5/(1+$B34)^$L$5+$Y$6/(1+$B34)^$L$6+$Y$7/(1+$B34)^$L$7+$Y$8/(1+$B34)^$L$8)+($Y$11/($B34-C$33)/(1+$B34)^$L$8)+($Z$4/(1+$B34)^$L$4+$Z$5/(1+$B34)^$L$5+$Z$6/(1+$B34)^$L$6+$Z$7/(1+$B34)^$L$7+$Z$8/(1+$B34)^$L$8)+($Z$11/($B34-C$33)/(1+$B34)^$L$8)</f>
        <v>226.45780528400866</v>
      </c>
      <c r="D34" s="150">
        <f>($Y$4/(1+$B34)^$L$4+$Y$5/(1+$B34)^$L$5+$Y$6/(1+$B34)^$L$6+$Y$7/(1+$B34)^$L$7+$Y$8/(1+$B34)^$L$8)+($Y$12/($B34-D$33)/(1+$B34)^$L$8)+($Z$4/(1+$B34)^$L$4+$Z$5/(1+$B34)^$L$5+$Z$6/(1+$B34)^$L$6+$Z$7/(1+$B34)^$L$7+$Z$8/(1+$B34)^$L$8)+($Z$12/($B34-D$33)/(1+$B34)^$L$8)</f>
        <v>215.0973678891508</v>
      </c>
      <c r="E34" s="150">
        <f>($Y$4/(1+$B34)^$L$4+$Y$5/(1+$B34)^$L$5+$Y$6/(1+$B34)^$L$6+$Y$7/(1+$B34)^$L$7+$Y$8/(1+$B34)^$L$8)+($Y$13/($B34-E$33)/(1+$B34)^$L$8)+($Z$4/(1+$B34)^$L$4+$Z$5/(1+$B34)^$L$5+$Z$6/(1+$B34)^$L$6+$Z$7/(1+$B34)^$L$7+$Z$8/(1+$B34)^$L$8)+($Z$13/($B34-E$33)/(1+$B34)^$L$8)</f>
        <v>181.69018846820435</v>
      </c>
      <c r="F34" s="150">
        <f>($Y$4/(1+$B34)^$L$4+$Y$5/(1+$B34)^$L$5+$Y$6/(1+$B34)^$L$6+$Y$7/(1+$B34)^$L$7+$Y$8/(1+$B34)^$L$8)+($Y$14/($B34-F$33)/(1+$B34)^$L$8)+($Z$4/(1+$B34)^$L$4+$Z$5/(1+$B34)^$L$5+$Z$6/(1+$B34)^$L$6+$Z$7/(1+$B34)^$L$7+$Z$8/(1+$B34)^$L$8)+($Z$14/($B34-F$33)/(1+$B34)^$L$8)</f>
        <v>170.49828426425327</v>
      </c>
      <c r="G34" s="150">
        <f>($Y$4/(1+$B34)^$L$4+$Y$5/(1+$B34)^$L$5+$Y$6/(1+$B34)^$L$6+$Y$7/(1+$B34)^$L$7+$Y$8/(1+$B34)^$L$8)+($Y$15/($B34-G$33)/(1+$B34)^$L$8)+($Z$4/(1+$B34)^$L$4+$Z$5/(1+$B34)^$L$5+$Z$6/(1+$B34)^$L$6+$Z$7/(1+$B34)^$L$7+$Z$8/(1+$B34)^$L$8)+($Z$15/($B34-G$33)/(1+$B34)^$L$8)</f>
        <v>162.50406697571691</v>
      </c>
      <c r="H34" s="224"/>
      <c r="J34" s="146">
        <f>J35-$I$2</f>
        <v>7.9999999999999988E-2</v>
      </c>
      <c r="K34" s="147">
        <f>($Y$4/(1+$J34)^$L$4+$Y$5/(1+$J34)^$L$5+$Y$6/(1+$J34)^$L$6+$Y$7/(1+$J34)^$L$7+$Y$8/(1+$J34)^$L$8)+($V$11*(1-K$33/$AA$11)/($J34-K$33)/(1+$J34)^$L$8)</f>
        <v>191.04531271239946</v>
      </c>
      <c r="L34" s="147">
        <f>($Y$4/(1+$J34)^$L$4+$Y$5/(1+$J34)^$L$5+$Y$6/(1+$J34)^$L$6+$Y$7/(1+$J34)^$L$7+$Y$8/(1+$J34)^$L$8)+($V$12*(1-L$33/$AA$12)/($J34-L$33)/(1+$J34)^$L$8)</f>
        <v>173.76164462117416</v>
      </c>
      <c r="M34" s="147">
        <f>($Y$4/(1+$J34)^$L$4+$Y$5/(1+$J34)^$L$5+$Y$6/(1+$J34)^$L$6+$Y$7/(1+$J34)^$L$7+$Y$8/(1+$J34)^$L$8)+($V$13*(1-M$33/$AA$13)/($J34-M$33)/(1+$J34)^$L$8)</f>
        <v>162.92717787352134</v>
      </c>
      <c r="N34" s="147">
        <f>($Y$4/(1+$J34)^$L$4+$Y$5/(1+$J34)^$L$5+$Y$6/(1+$J34)^$L$6+$Y$7/(1+$J34)^$L$7+$Y$8/(1+$J34)^$L$8)+($V$14*(1-N$33/$AA$14)/($J34-N$33)/(1+$J34)^$L$8)</f>
        <v>155.31731179765458</v>
      </c>
      <c r="O34" s="147">
        <f>($Y$4/(1+$J34)^$L$4+$Y$5/(1+$J34)^$L$5+$Y$6/(1+$J34)^$L$6+$Y$7/(1+$J34)^$L$7+$Y$8/(1+$J34)^$L$8)+($V$15*(1-O$33/$AA$15)/($J34-O$33)/(1+$J34)^$L$8)</f>
        <v>149.55007467709439</v>
      </c>
      <c r="P34" s="230"/>
      <c r="Q34" s="164"/>
      <c r="R34" s="234" t="s">
        <v>233</v>
      </c>
      <c r="S34" s="149">
        <f>S35-$I$2</f>
        <v>7.9999999999999988E-2</v>
      </c>
      <c r="T34" s="150">
        <f>($Y$4/(1+$S34)^$L$4+$Y$5/(1+$S34)^$L$5+$Y$6/(1+$S34)^$L$6+$Y$7/(1+$S34)^$L$7+$Y$8/(1+$S34)^$L$8)+($Y$11/($S34-T$33)/(1+$S34)^$L$8)+($Z$4/(1+$Y$36)^$L$4+$Z$5/(1+$Y$36)^$L$5+$Z$6/(1+$Y$36)^$L$6+$Z$7/(1+$Y$36)^$L$7+$Z$8/(1+$Y$36)^$L$8)+($Z$11/($Y$36-T$33)/(1+$Y$36)^$L$8)</f>
        <v>211.57410406263881</v>
      </c>
      <c r="U34" s="150">
        <f t="shared" ref="U34:X35" si="9">($Y$4/(1+$S34)^$L$4+$Y$5/(1+$S34)^$L$5+$Y$6/(1+$S34)^$L$6+$Y$7/(1+$S34)^$L$7+$Y$8/(1+$S34)^$L$8)+($Y11/($S34-U$33)/(1+$S34)^$L$8)+($Z$4/(1+$Y$36)^$L$4+$Z$5/(1+$Y$36)^$L$5+$Z$6/(1+$Y$36)^$L$6+$Z$7/(1+$Y$36)^$L$7+$Z$8/(1+$Y$36)^$L$8)+($Z11/($Y$36-U$33)/(1+$Y$36)^$L$8)</f>
        <v>162.00108888258086</v>
      </c>
      <c r="V34" s="150">
        <f t="shared" si="9"/>
        <v>132.07730248082078</v>
      </c>
      <c r="W34" s="150">
        <f t="shared" si="9"/>
        <v>112.02312479164101</v>
      </c>
      <c r="X34" s="150">
        <f t="shared" si="9"/>
        <v>97.633265867885243</v>
      </c>
      <c r="Y34" s="231"/>
      <c r="AA34" s="154">
        <f>AA35-$I$2</f>
        <v>7.9999999999999988E-2</v>
      </c>
      <c r="AB34" s="152">
        <f>($Y$4/(1+$AA34)^$L$4+$Y$5/(1+$AA34)^$L$5+$Y$6/(1+$AA34)^$L$6+$Y$7/(1+$AA34)^$L$7+$Y$8/(1+$AA34)^$L$8)+($S$11*$AG$37)/(1+$AA34)^$L$8</f>
        <v>231.33912922829211</v>
      </c>
      <c r="AC34" s="152">
        <f>($Y$4/(1+$AA34)^$L$4+$Y$5/(1+$AA34)^$L$5+$Y$6/(1+$AA34)^$L$6+$Y$7/(1+$AA34)^$L$7+$Y$8/(1+$AA34)^$L$8)+($S$12*$AG$37)/(1+$AA34)^$L$8</f>
        <v>229.19756558996002</v>
      </c>
      <c r="AD34" s="152">
        <f>($Y$4/(1+$AA34)^$L$4+$Y$5/(1+$AA34)^$L$5+$Y$6/(1+$AA34)^$L$6+$Y$7/(1+$AA34)^$L$7+$Y$8/(1+$AA34)^$L$8)+($S$13*$AG$37)/(1+$AA34)^$L$8</f>
        <v>227.05600195162799</v>
      </c>
      <c r="AE34" s="152">
        <f>($Y$4/(1+$AA34)^$L$4+$Y$5/(1+$AA34)^$L$5+$Y$6/(1+$AA34)^$L$6+$Y$7/(1+$AA34)^$L$7+$Y$8/(1+$AA34)^$L$8)+($S$14*$AG$37)/(1+$AA34)^$L$8</f>
        <v>224.91443831329582</v>
      </c>
      <c r="AF34" s="152">
        <f>($Y$4/(1+$AA34)^$L$4+$Y$5/(1+$AA34)^$L$5+$Y$6/(1+$AA34)^$L$6+$Y$7/(1+$AA34)^$L$7+$Y$8/(1+$AA34)^$L$8)+($S$15*$AG$37)/(1+$AA34)^$L$8</f>
        <v>222.77287467496382</v>
      </c>
      <c r="AG34" s="232"/>
    </row>
    <row r="35" spans="1:33" ht="15" customHeight="1" x14ac:dyDescent="0.25">
      <c r="A35" s="241"/>
      <c r="B35" s="149">
        <f>B36-$I$2</f>
        <v>9.9999999999999992E-2</v>
      </c>
      <c r="C35" s="150">
        <f>($Y$4/(1+$B35)^$L$4+$Y$5/(1+$B35)^$L$5+$Y$6/(1+$B35)^$L$6+$Y$7/(1+$B35)^$L$7+$Y$8/(1+$B35)^$L$8)+($Y$11/($B35-C$33)/(1+$B35)^$L$8)+($Z$4/(1+$B35)^$L$4+$Z$5/(1+$B35)^$L$5+$Z$6/(1+$B35)^$L$6+$Z$7/(1+$B35)^$L$7+$Z$8/(1+$B35)^$L$8)+($Z$11/($B35-C$33)/(1+$B35)^$L$8)</f>
        <v>127.69116852373878</v>
      </c>
      <c r="D35" s="150">
        <f>($Y$4/(1+$B35)^$L$4+$Y$5/(1+$B35)^$L$5+$Y$6/(1+$B35)^$L$6+$Y$7/(1+$B35)^$L$7+$Y$8/(1+$B35)^$L$8)+($Y$12/($B35-D$33)/(1+$B35)^$L$8)+($Z$4/(1+$B35)^$L$4+$Z$5/(1+$B35)^$L$5+$Z$6/(1+$B35)^$L$6+$Z$7/(1+$B35)^$L$7+$Z$8/(1+$B35)^$L$8)+($Z$12/($B35-D$33)/(1+$B35)^$L$8)</f>
        <v>133.97439656945156</v>
      </c>
      <c r="E35" s="150">
        <f>($Y$4/(1+$B35)^$L$4+$Y$5/(1+$B35)^$L$5+$Y$6/(1+$B35)^$L$6+$Y$7/(1+$B35)^$L$7+$Y$8/(1+$B35)^$L$8)+($Y$13/($B35-E$33)/(1+$B35)^$L$8)+($Z$4/(1+$B35)^$L$4+$Z$5/(1+$B35)^$L$5+$Z$6/(1+$B35)^$L$6+$Z$7/(1+$B35)^$L$7+$Z$8/(1+$B35)^$L$8)+($Z$13/($B35-E$33)/(1+$B35)^$L$8)</f>
        <v>121.13393018985983</v>
      </c>
      <c r="F35" s="150">
        <f>($Y$4/(1+$B35)^$L$4+$Y$5/(1+$B35)^$L$5+$Y$6/(1+$B35)^$L$6+$Y$7/(1+$B35)^$L$7+$Y$8/(1+$B35)^$L$8)+($Y$14/($B35-F$33)/(1+$B35)^$L$8)+($Z$4/(1+$B35)^$L$4+$Z$5/(1+$B35)^$L$5+$Z$6/(1+$B35)^$L$6+$Z$7/(1+$B35)^$L$7+$Z$8/(1+$B35)^$L$8)+($Z$14/($B35-F$33)/(1+$B35)^$L$8)</f>
        <v>119.08479321052261</v>
      </c>
      <c r="G35" s="150">
        <f>($Y$4/(1+$B35)^$L$4+$Y$5/(1+$B35)^$L$5+$Y$6/(1+$B35)^$L$6+$Y$7/(1+$B35)^$L$7+$Y$8/(1+$B35)^$L$8)+($Y$15/($B35-G$33)/(1+$B35)^$L$8)+($Z$4/(1+$B35)^$L$4+$Z$5/(1+$B35)^$L$5+$Z$6/(1+$B35)^$L$6+$Z$7/(1+$B35)^$L$7+$Z$8/(1+$B35)^$L$8)+($Z$15/($B35-G$33)/(1+$B35)^$L$8)</f>
        <v>117.49102000437155</v>
      </c>
      <c r="H35" s="224"/>
      <c r="J35" s="146">
        <f>J36-$I$2</f>
        <v>9.9999999999999992E-2</v>
      </c>
      <c r="K35" s="147">
        <f>($Y$4/(1+$J35)^$L$4+$Y$5/(1+$J35)^$L$5+$Y$6/(1+$J35)^$L$6+$Y$7/(1+$J35)^$L$7+$Y$8/(1+$J35)^$L$8)+($V$11*(1-K$33/$AA$11)/($J35-K$33)/(1+$J35)^$L$8)</f>
        <v>107.07989798515851</v>
      </c>
      <c r="L35" s="147">
        <f>($Y$4/(1+$J35)^$L$4+$Y$5/(1+$J35)^$L$5+$Y$6/(1+$J35)^$L$6+$Y$7/(1+$J35)^$L$7+$Y$8/(1+$J35)^$L$8)+($V$12*(1-L$33/$AA$12)/($J35-L$33)/(1+$J35)^$L$8)</f>
        <v>107.79356972981333</v>
      </c>
      <c r="M35" s="147">
        <f>($Y$4/(1+$J35)^$L$4+$Y$5/(1+$J35)^$L$5+$Y$6/(1+$J35)^$L$6+$Y$7/(1+$J35)^$L$7+$Y$8/(1+$J35)^$L$8)+($V$13*(1-M$33/$AA$13)/($J35-M$33)/(1+$J35)^$L$8)</f>
        <v>108.00078739463447</v>
      </c>
      <c r="N35" s="147">
        <f>($Y$4/(1+$J35)^$L$4+$Y$5/(1+$J35)^$L$5+$Y$6/(1+$J35)^$L$6+$Y$7/(1+$J35)^$L$7+$Y$8/(1+$J35)^$L$8)+($V$14*(1-N$33/$AA$14)/($J35-N$33)/(1+$J35)^$L$8)</f>
        <v>107.89147125955942</v>
      </c>
      <c r="O35" s="147">
        <f>($Y$4/(1+$J35)^$L$4+$Y$5/(1+$J35)^$L$5+$Y$6/(1+$J35)^$L$6+$Y$7/(1+$J35)^$L$7+$Y$8/(1+$J35)^$L$8)+($V$15*(1-O$33/$AA$15)/($J35-O$33)/(1+$J35)^$L$8)</f>
        <v>107.57113259122042</v>
      </c>
      <c r="P35" s="230"/>
      <c r="Q35" s="164"/>
      <c r="R35" s="234"/>
      <c r="S35" s="149">
        <f>S36-$I$2</f>
        <v>9.9999999999999992E-2</v>
      </c>
      <c r="T35" s="150">
        <f>($Y$4/(1+$S35)^$L$4+$Y$5/(1+$S35)^$L$5+$Y$6/(1+$S35)^$L$6+$Y$7/(1+$S35)^$L$7+$Y$8/(1+$S35)^$L$8)+($Y$11/($S35-T$33)/(1+$S35)^$L$8)+($Z$4/(1+$Y$36)^$L$4+$Z$5/(1+$Y$36)^$L$5+$Z$6/(1+$Y$36)^$L$6+$Z$7/(1+$Y$36)^$L$7+$Z$8/(1+$Y$36)^$L$8)+($Z$11/($Y$36-T$33)/(1+$Y$36)^$L$8)</f>
        <v>123.2310709067619</v>
      </c>
      <c r="U35" s="150">
        <f t="shared" si="9"/>
        <v>130.56984653357352</v>
      </c>
      <c r="V35" s="150">
        <f t="shared" si="9"/>
        <v>113.39959237476802</v>
      </c>
      <c r="W35" s="150">
        <f t="shared" si="9"/>
        <v>100.48253172266148</v>
      </c>
      <c r="X35" s="150">
        <f t="shared" si="9"/>
        <v>90.410477658779087</v>
      </c>
      <c r="Y35" s="231"/>
      <c r="AA35" s="154">
        <f>AA36-$I$2</f>
        <v>9.9999999999999992E-2</v>
      </c>
      <c r="AB35" s="152">
        <f>($Y$4/(1+$AA35)^$L$4+$Y$5/(1+$AA35)^$L$5+$Y$6/(1+$AA35)^$L$6+$Y$7/(1+$AA35)^$L$7+$Y$8/(1+$AA35)^$L$8)+($S$11*$AG$37)/(1+$AA35)^$L$8</f>
        <v>211.19760231686155</v>
      </c>
      <c r="AC35" s="152">
        <f>($Y$4/(1+$AA35)^$L$4+$Y$5/(1+$AA35)^$L$5+$Y$6/(1+$AA35)^$L$6+$Y$7/(1+$AA35)^$L$7+$Y$8/(1+$AA35)^$L$8)+($S$12*$AG$37)/(1+$AA35)^$L$8</f>
        <v>209.243774285955</v>
      </c>
      <c r="AD35" s="152">
        <f>($Y$4/(1+$AA35)^$L$4+$Y$5/(1+$AA35)^$L$5+$Y$6/(1+$AA35)^$L$6+$Y$7/(1+$AA35)^$L$7+$Y$8/(1+$AA35)^$L$8)+($S$13*$AG$37)/(1+$AA35)^$L$8</f>
        <v>207.28994625504851</v>
      </c>
      <c r="AE35" s="152">
        <f>($Y$4/(1+$AA35)^$L$4+$Y$5/(1+$AA35)^$L$5+$Y$6/(1+$AA35)^$L$6+$Y$7/(1+$AA35)^$L$7+$Y$8/(1+$AA35)^$L$8)+($S$14*$AG$37)/(1+$AA35)^$L$8</f>
        <v>205.3361182241419</v>
      </c>
      <c r="AF35" s="152">
        <f>($Y$4/(1+$AA35)^$L$4+$Y$5/(1+$AA35)^$L$5+$Y$6/(1+$AA35)^$L$6+$Y$7/(1+$AA35)^$L$7+$Y$8/(1+$AA35)^$L$8)+($S$15*$AG$37)/(1+$AA35)^$L$8</f>
        <v>203.38229019323543</v>
      </c>
      <c r="AG35" s="232"/>
    </row>
    <row r="36" spans="1:33" ht="15" customHeight="1" x14ac:dyDescent="0.25">
      <c r="A36" s="241"/>
      <c r="B36" s="149">
        <f>$I$10</f>
        <v>0.12</v>
      </c>
      <c r="C36" s="150">
        <f>($Y$4/(1+$B36)^$L$4+$Y$5/(1+$B36)^$L$5+$Y$6/(1+$B36)^$L$6+$Y$7/(1+$B36)^$L$7+$Y$8/(1+$B36)^$L$8)+($Y$11/($B36-C$33)/(1+$B36)^$L$8)+($Z$4/(1+$B36)^$L$4+$Z$5/(1+$B36)^$L$5+$Z$6/(1+$B36)^$L$6+$Z$7/(1+$B36)^$L$7+$Z$8/(1+$B36)^$L$8)+($Z$11/($B36-C$33)/(1+$B36)^$L$8)</f>
        <v>85.916150929079677</v>
      </c>
      <c r="D36" s="150">
        <f>($Y$4/(1+$B36)^$L$4+$Y$5/(1+$B36)^$L$5+$Y$6/(1+$B36)^$L$6+$Y$7/(1+$B36)^$L$7+$Y$8/(1+$B36)^$L$8)+($Y$12/($B36-D$33)/(1+$B36)^$L$8)+($Z$4/(1+$B36)^$L$4+$Z$5/(1+$B36)^$L$5+$Z$6/(1+$B36)^$L$6+$Z$7/(1+$B36)^$L$7+$Z$8/(1+$B36)^$L$8)+($Z$12/($B36-D$33)/(1+$B36)^$L$8)</f>
        <v>94.097824162475547</v>
      </c>
      <c r="E36" s="150">
        <f>($Y$4/(1+$B36)^$L$4+$Y$5/(1+$B36)^$L$5+$Y$6/(1+$B36)^$L$6+$Y$7/(1+$B36)^$L$7+$Y$8/(1+$B36)^$L$8)+($Y$13/($B36-E$33)/(1+$B36)^$L$8)+($Z$4/(1+$B36)^$L$4+$Z$5/(1+$B36)^$L$5+$Z$6/(1+$B36)^$L$6+$Z$7/(1+$B36)^$L$7+$Z$8/(1+$B36)^$L$8)+($Z$13/($B36-E$33)/(1+$B36)^$L$8)</f>
        <v>88.144786475312486</v>
      </c>
      <c r="F36" s="150">
        <f>($Y$4/(1+$B36)^$L$4+$Y$5/(1+$B36)^$L$5+$Y$6/(1+$B36)^$L$6+$Y$7/(1+$B36)^$L$7+$Y$8/(1+$B36)^$L$8)+($Y$14/($B36-F$33)/(1+$B36)^$L$8)+($Z$4/(1+$B36)^$L$4+$Z$5/(1+$B36)^$L$5+$Z$6/(1+$B36)^$L$6+$Z$7/(1+$B36)^$L$7+$Z$8/(1+$B36)^$L$8)+($Z$14/($B36-F$33)/(1+$B36)^$L$8)</f>
        <v>88.92480891649393</v>
      </c>
      <c r="G36" s="150">
        <f>($Y$4/(1+$B36)^$L$4+$Y$5/(1+$B36)^$L$5+$Y$6/(1+$B36)^$L$6+$Y$7/(1+$B36)^$L$7+$Y$8/(1+$B36)^$L$8)+($Y$15/($B36-G$33)/(1+$B36)^$L$8)+($Z$4/(1+$B36)^$L$4+$Z$5/(1+$B36)^$L$5+$Z$6/(1+$B36)^$L$6+$Z$7/(1+$B36)^$L$7+$Z$8/(1+$B36)^$L$8)+($Z$15/($B36-G$33)/(1+$B36)^$L$8)</f>
        <v>89.563009095642471</v>
      </c>
      <c r="H36" s="224"/>
      <c r="J36" s="146">
        <f>$I$10</f>
        <v>0.12</v>
      </c>
      <c r="K36" s="147">
        <f>($Y$4/(1+$J36)^$L$4+$Y$5/(1+$J36)^$L$5+$Y$6/(1+$J36)^$L$6+$Y$7/(1+$J36)^$L$7+$Y$8/(1+$J36)^$L$8)+($V$11*(1-K$33/$AA$11)/($J36-K$33)/(1+$J36)^$L$8)</f>
        <v>71.603536339421609</v>
      </c>
      <c r="L36" s="147">
        <f>($Y$4/(1+$J36)^$L$4+$Y$5/(1+$J36)^$L$5+$Y$6/(1+$J36)^$L$6+$Y$7/(1+$J36)^$L$7+$Y$8/(1+$J36)^$L$8)+($V$12*(1-L$33/$AA$12)/($J36-L$33)/(1+$J36)^$L$8)</f>
        <v>75.390169021805235</v>
      </c>
      <c r="M36" s="147">
        <f>($Y$4/(1+$J36)^$L$4+$Y$5/(1+$J36)^$L$5+$Y$6/(1+$J36)^$L$6+$Y$7/(1+$J36)^$L$7+$Y$8/(1+$J36)^$L$8)+($V$13*(1-M$33/$AA$13)/($J36-M$33)/(1+$J36)^$L$8)</f>
        <v>78.12028594905388</v>
      </c>
      <c r="N36" s="147">
        <f>($Y$4/(1+$J36)^$L$4+$Y$5/(1+$J36)^$L$5+$Y$6/(1+$J36)^$L$6+$Y$7/(1+$J36)^$L$7+$Y$8/(1+$J36)^$L$8)+($V$14*(1-N$33/$AA$14)/($J36-N$33)/(1+$J36)^$L$8)</f>
        <v>80.110841847707974</v>
      </c>
      <c r="O36" s="147">
        <f>($Y$4/(1+$J36)^$L$4+$Y$5/(1+$J36)^$L$5+$Y$6/(1+$J36)^$L$6+$Y$7/(1+$J36)^$L$7+$Y$8/(1+$J36)^$L$8)+($V$15*(1-O$33/$AA$15)/($J36-O$33)/(1+$J36)^$L$8)</f>
        <v>81.563535180111629</v>
      </c>
      <c r="P36" s="242">
        <f>$AA$11</f>
        <v>9.5434645059972359E-2</v>
      </c>
      <c r="Q36" s="174"/>
      <c r="R36" s="234"/>
      <c r="S36" s="149">
        <f>$I$10</f>
        <v>0.12</v>
      </c>
      <c r="T36" s="150">
        <f t="shared" ref="T36:T38" si="10">($Y$4/(1+$S36)^$L$4+$Y$5/(1+$S36)^$L$5+$Y$6/(1+$S36)^$L$6+$Y$7/(1+$S36)^$L$7+$Y$8/(1+$S36)^$L$8)+($Y$11/($S36-T$33)/(1+$S36)^$L$8)+($Z$4/(1+$Y$36)^$L$4+$Z$5/(1+$Y$36)^$L$5+$Z$6/(1+$Y$36)^$L$6+$Z$7/(1+$Y$36)^$L$7+$Z$8/(1+$Y$36)^$L$8)+($Z$11/($Y$36-T$33)/(1+$Y$36)^$L$8)</f>
        <v>85.916150929079677</v>
      </c>
      <c r="U36" s="150">
        <f t="shared" ref="U36:X36" si="11">($Y$4/(1+$S36)^$L$4+$Y$5/(1+$S36)^$L$5+$Y$6/(1+$S36)^$L$6+$Y$7/(1+$S36)^$L$7+$Y$8/(1+$S36)^$L$8)+($Y13/($S36-U$33)/(1+$S36)^$L$8)+($Z$4/(1+$Y$36)^$L$4+$Z$5/(1+$Y$36)^$L$5+$Z$6/(1+$Y$36)^$L$6+$Z$7/(1+$Y$36)^$L$7+$Z$8/(1+$Y$36)^$L$8)+($Z13/($Y$36-U$33)/(1+$Y$36)^$L$8)</f>
        <v>98.111473852929237</v>
      </c>
      <c r="V36" s="150">
        <f t="shared" si="11"/>
        <v>88.144786475312486</v>
      </c>
      <c r="W36" s="150">
        <f t="shared" si="11"/>
        <v>80.171436573219054</v>
      </c>
      <c r="X36" s="150">
        <f t="shared" si="11"/>
        <v>73.647786653324445</v>
      </c>
      <c r="Y36" s="236">
        <f>'Mkt Val with BOP and required r'!$J$7</f>
        <v>0.12</v>
      </c>
      <c r="Z36" s="163"/>
      <c r="AA36" s="154">
        <f>$I$10</f>
        <v>0.12</v>
      </c>
      <c r="AB36" s="152">
        <f>($Y$4/(1+$AA36)^$L$4+$Y$5/(1+$AA36)^$L$5+$Y$6/(1+$AA36)^$L$6+$Y$7/(1+$AA36)^$L$7+$Y$8/(1+$AA36)^$L$8)+($S$11*$AG$37)/(1+$AA36)^$L$8</f>
        <v>193.13109145377112</v>
      </c>
      <c r="AC36" s="152">
        <f>($Y$4/(1+$AA36)^$L$4+$Y$5/(1+$AA36)^$L$5+$Y$6/(1+$AA36)^$L$6+$Y$7/(1+$AA36)^$L$7+$Y$8/(1+$AA36)^$L$8)+($S$12*$AG$37)/(1+$AA36)^$L$8</f>
        <v>191.34559230110867</v>
      </c>
      <c r="AD36" s="152">
        <f>($Y$4/(1+$AA36)^$L$4+$Y$5/(1+$AA36)^$L$5+$Y$6/(1+$AA36)^$L$6+$Y$7/(1+$AA36)^$L$7+$Y$8/(1+$AA36)^$L$8)+($S$13*$AG$37)/(1+$AA36)^$L$8</f>
        <v>189.56009314844627</v>
      </c>
      <c r="AE36" s="152">
        <f>($Y$4/(1+$AA36)^$L$4+$Y$5/(1+$AA36)^$L$5+$Y$6/(1+$AA36)^$L$6+$Y$7/(1+$AA36)^$L$7+$Y$8/(1+$AA36)^$L$8)+($S$14*$AG$37)/(1+$AA36)^$L$8</f>
        <v>187.77459399578376</v>
      </c>
      <c r="AF36" s="152">
        <f>($Y$4/(1+$AA36)^$L$4+$Y$5/(1+$AA36)^$L$5+$Y$6/(1+$AA36)^$L$6+$Y$7/(1+$AA36)^$L$7+$Y$8/(1+$AA36)^$L$8)+($S$15*$AG$37)/(1+$AA36)^$L$8</f>
        <v>185.98909484312139</v>
      </c>
      <c r="AG36" s="232"/>
    </row>
    <row r="37" spans="1:33" ht="15" customHeight="1" x14ac:dyDescent="0.25">
      <c r="A37" s="241"/>
      <c r="B37" s="149">
        <f>B36+$I$2</f>
        <v>0.13999999999999999</v>
      </c>
      <c r="C37" s="150">
        <f>($Y$4/(1+$B37)^$L$4+$Y$5/(1+$B37)^$L$5+$Y$6/(1+$B37)^$L$6+$Y$7/(1+$B37)^$L$7+$Y$8/(1+$B37)^$L$8)+($Y$11/($B37-C$33)/(1+$B37)^$L$8)+($Z$4/(1+$B37)^$L$4+$Z$5/(1+$B37)^$L$5+$Z$6/(1+$B37)^$L$6+$Z$7/(1+$B37)^$L$7+$Z$8/(1+$B37)^$L$8)+($Z$11/($B37-C$33)/(1+$B37)^$L$8)</f>
        <v>63.08916664115015</v>
      </c>
      <c r="D37" s="150">
        <f>($Y$4/(1+$B37)^$L$4+$Y$5/(1+$B37)^$L$5+$Y$6/(1+$B37)^$L$6+$Y$7/(1+$B37)^$L$7+$Y$8/(1+$B37)^$L$8)+($Y$12/($B37-D$33)/(1+$B37)^$L$8)+($Z$4/(1+$B37)^$L$4+$Z$5/(1+$B37)^$L$5+$Z$6/(1+$B37)^$L$6+$Z$7/(1+$B37)^$L$7+$Z$8/(1+$B37)^$L$8)+($Z$12/($B37-D$33)/(1+$B37)^$L$8)</f>
        <v>70.656605692538221</v>
      </c>
      <c r="E37" s="150">
        <f>($Y$4/(1+$B37)^$L$4+$Y$5/(1+$B37)^$L$5+$Y$6/(1+$B37)^$L$6+$Y$7/(1+$B37)^$L$7+$Y$8/(1+$B37)^$L$8)+($Y$13/($B37-E$33)/(1+$B37)^$L$8)+($Z$4/(1+$B37)^$L$4+$Z$5/(1+$B37)^$L$5+$Z$6/(1+$B37)^$L$6+$Z$7/(1+$B37)^$L$7+$Z$8/(1+$B37)^$L$8)+($Z$13/($B37-E$33)/(1+$B37)^$L$8)</f>
        <v>67.624447053665762</v>
      </c>
      <c r="F37" s="150">
        <f>($Y$4/(1+$B37)^$L$4+$Y$5/(1+$B37)^$L$5+$Y$6/(1+$B37)^$L$6+$Y$7/(1+$B37)^$L$7+$Y$8/(1+$B37)^$L$8)+($Y$14/($B37-F$33)/(1+$B37)^$L$8)+($Z$4/(1+$B37)^$L$4+$Z$5/(1+$B37)^$L$5+$Z$6/(1+$B37)^$L$6+$Z$7/(1+$B37)^$L$7+$Z$8/(1+$B37)^$L$8)+($Z$14/($B37-F$33)/(1+$B37)^$L$8)</f>
        <v>69.325177208359094</v>
      </c>
      <c r="G37" s="150">
        <f>($Y$4/(1+$B37)^$L$4+$Y$5/(1+$B37)^$L$5+$Y$6/(1+$B37)^$L$6+$Y$7/(1+$B37)^$L$7+$Y$8/(1+$B37)^$L$8)+($Y$15/($B37-G$33)/(1+$B37)^$L$8)+($Z$4/(1+$B37)^$L$4+$Z$5/(1+$B37)^$L$5+$Z$6/(1+$B37)^$L$6+$Z$7/(1+$B37)^$L$7+$Z$8/(1+$B37)^$L$8)+($Z$15/($B37-G$33)/(1+$B37)^$L$8)</f>
        <v>70.764256570022781</v>
      </c>
      <c r="H37" s="224"/>
      <c r="J37" s="146">
        <f>J36+$I$2</f>
        <v>0.13999999999999999</v>
      </c>
      <c r="K37" s="147">
        <f>($Y$4/(1+$J37)^$L$4+$Y$5/(1+$J37)^$L$5+$Y$6/(1+$J37)^$L$6+$Y$7/(1+$J37)^$L$7+$Y$8/(1+$J37)^$L$8)+($V$11*(1-K$33/$AA$11)/($J37-K$33)/(1+$J37)^$L$8)</f>
        <v>52.245043309201279</v>
      </c>
      <c r="L37" s="147">
        <f>($Y$4/(1+$J37)^$L$4+$Y$5/(1+$J37)^$L$5+$Y$6/(1+$J37)^$L$6+$Y$7/(1+$J37)^$L$7+$Y$8/(1+$J37)^$L$8)+($V$12*(1-L$33/$AA$12)/($J37-L$33)/(1+$J37)^$L$8)</f>
        <v>56.359209975591604</v>
      </c>
      <c r="M37" s="147">
        <f>($Y$4/(1+$J37)^$L$4+$Y$5/(1+$J37)^$L$5+$Y$6/(1+$J37)^$L$6+$Y$7/(1+$J37)^$L$7+$Y$8/(1+$J37)^$L$8)+($V$13*(1-M$33/$AA$13)/($J37-M$33)/(1+$J37)^$L$8)</f>
        <v>59.564304537738039</v>
      </c>
      <c r="N37" s="147">
        <f>($Y$4/(1+$J37)^$L$4+$Y$5/(1+$J37)^$L$5+$Y$6/(1+$J37)^$L$6+$Y$7/(1+$J37)^$L$7+$Y$8/(1+$J37)^$L$8)+($V$14*(1-N$33/$AA$14)/($J37-N$33)/(1+$J37)^$L$8)</f>
        <v>62.087595021701482</v>
      </c>
      <c r="O37" s="147">
        <f>($Y$4/(1+$J37)^$L$4+$Y$5/(1+$J37)^$L$5+$Y$6/(1+$J37)^$L$6+$Y$7/(1+$J37)^$L$7+$Y$8/(1+$J37)^$L$8)+($V$15*(1-O$33/$AA$15)/($J37-O$33)/(1+$J37)^$L$8)</f>
        <v>64.086420830139687</v>
      </c>
      <c r="P37" s="242"/>
      <c r="Q37" s="174"/>
      <c r="R37" s="234"/>
      <c r="S37" s="149">
        <f>S36+$I$2</f>
        <v>0.13999999999999999</v>
      </c>
      <c r="T37" s="150">
        <f t="shared" si="10"/>
        <v>65.561989409630641</v>
      </c>
      <c r="U37" s="150">
        <f t="shared" ref="U37:X37" si="12">($Y$4/(1+$S37)^$L$4+$Y$5/(1+$S37)^$L$5+$Y$6/(1+$S37)^$L$6+$Y$7/(1+$S37)^$L$7+$Y$8/(1+$S37)^$L$8)+($Y14/($S37-U$33)/(1+$S37)^$L$8)+($Z$4/(1+$Y$36)^$L$4+$Z$5/(1+$Y$36)^$L$5+$Z$6/(1+$Y$36)^$L$6+$Z$7/(1+$Y$36)^$L$7+$Z$8/(1+$Y$36)^$L$8)+($Z14/($Y$36-U$33)/(1+$Y$36)^$L$8)</f>
        <v>83.644602550541137</v>
      </c>
      <c r="V37" s="150">
        <f t="shared" si="12"/>
        <v>76.629446659980545</v>
      </c>
      <c r="W37" s="150">
        <f t="shared" si="12"/>
        <v>70.809730106514962</v>
      </c>
      <c r="X37" s="150">
        <f t="shared" si="12"/>
        <v>65.902974715905316</v>
      </c>
      <c r="Y37" s="236"/>
      <c r="Z37" s="163"/>
      <c r="AA37" s="154">
        <f>AA36+$I$2</f>
        <v>0.13999999999999999</v>
      </c>
      <c r="AB37" s="152">
        <f>($Y$4/(1+$AA37)^$L$4+$Y$5/(1+$AA37)^$L$5+$Y$6/(1+$AA37)^$L$6+$Y$7/(1+$AA37)^$L$7+$Y$8/(1+$AA37)^$L$8)+($S$11*$AG$37)/(1+$AA37)^$L$8</f>
        <v>176.89410239865114</v>
      </c>
      <c r="AC37" s="152">
        <f>($Y$4/(1+$AA37)^$L$4+$Y$5/(1+$AA37)^$L$5+$Y$6/(1+$AA37)^$L$6+$Y$7/(1+$AA37)^$L$7+$Y$8/(1+$AA37)^$L$8)+($S$12*$AG$37)/(1+$AA37)^$L$8</f>
        <v>175.25982601432406</v>
      </c>
      <c r="AD37" s="152">
        <f>($Y$4/(1+$AA37)^$L$4+$Y$5/(1+$AA37)^$L$5+$Y$6/(1+$AA37)^$L$6+$Y$7/(1+$AA37)^$L$7+$Y$8/(1+$AA37)^$L$8)+($S$13*$AG$37)/(1+$AA37)^$L$8</f>
        <v>173.62554962999704</v>
      </c>
      <c r="AE37" s="152">
        <f>($Y$4/(1+$AA37)^$L$4+$Y$5/(1+$AA37)^$L$5+$Y$6/(1+$AA37)^$L$6+$Y$7/(1+$AA37)^$L$7+$Y$8/(1+$AA37)^$L$8)+($S$14*$AG$37)/(1+$AA37)^$L$8</f>
        <v>171.9912732456699</v>
      </c>
      <c r="AF37" s="152">
        <f>($Y$4/(1+$AA37)^$L$4+$Y$5/(1+$AA37)^$L$5+$Y$6/(1+$AA37)^$L$6+$Y$7/(1+$AA37)^$L$7+$Y$8/(1+$AA37)^$L$8)+($S$15*$AG$37)/(1+$AA37)^$L$8</f>
        <v>170.35699686134288</v>
      </c>
      <c r="AG37" s="240">
        <f>'Fin Stmt'!P44</f>
        <v>12.76033478951298</v>
      </c>
    </row>
    <row r="38" spans="1:33" ht="15" customHeight="1" x14ac:dyDescent="0.25">
      <c r="A38" s="241"/>
      <c r="B38" s="149">
        <f>B37+$I$2</f>
        <v>0.15999999999999998</v>
      </c>
      <c r="C38" s="150">
        <f>($Y$4/(1+$B38)^$L$4+$Y$5/(1+$B38)^$L$5+$Y$6/(1+$B38)^$L$6+$Y$7/(1+$B38)^$L$7+$Y$8/(1+$B38)^$L$8)+($Y$11/($B38-C$33)/(1+$B38)^$L$8)+($Z$4/(1+$B38)^$L$4+$Z$5/(1+$B38)^$L$5+$Z$6/(1+$B38)^$L$6+$Z$7/(1+$B38)^$L$7+$Z$8/(1+$B38)^$L$8)+($Z$11/($B38-C$33)/(1+$B38)^$L$8)</f>
        <v>48.839950844439393</v>
      </c>
      <c r="D38" s="150">
        <f>($Y$4/(1+$B38)^$L$4+$Y$5/(1+$B38)^$L$5+$Y$6/(1+$B38)^$L$6+$Y$7/(1+$B38)^$L$7+$Y$8/(1+$B38)^$L$8)+($Y$12/($B38-D$33)/(1+$B38)^$L$8)+($Z$4/(1+$B38)^$L$4+$Z$5/(1+$B38)^$L$5+$Z$6/(1+$B38)^$L$6+$Z$7/(1+$B38)^$L$7+$Z$8/(1+$B38)^$L$8)+($Z$12/($B38-D$33)/(1+$B38)^$L$8)</f>
        <v>55.387311813011067</v>
      </c>
      <c r="E38" s="150">
        <f>($Y$4/(1+$B38)^$L$4+$Y$5/(1+$B38)^$L$5+$Y$6/(1+$B38)^$L$6+$Y$7/(1+$B38)^$L$7+$Y$8/(1+$B38)^$L$8)+($Y$13/($B38-E$33)/(1+$B38)^$L$8)+($Z$4/(1+$B38)^$L$4+$Z$5/(1+$B38)^$L$5+$Z$6/(1+$B38)^$L$6+$Z$7/(1+$B38)^$L$7+$Z$8/(1+$B38)^$L$8)+($Z$13/($B38-E$33)/(1+$B38)^$L$8)</f>
        <v>53.772729819173243</v>
      </c>
      <c r="F38" s="150">
        <f>($Y$4/(1+$B38)^$L$4+$Y$5/(1+$B38)^$L$5+$Y$6/(1+$B38)^$L$6+$Y$7/(1+$B38)^$L$7+$Y$8/(1+$B38)^$L$8)+($Y$14/($B38-F$33)/(1+$B38)^$L$8)+($Z$4/(1+$B38)^$L$4+$Z$5/(1+$B38)^$L$5+$Z$6/(1+$B38)^$L$6+$Z$7/(1+$B38)^$L$7+$Z$8/(1+$B38)^$L$8)+($Z$14/($B38-F$33)/(1+$B38)^$L$8)</f>
        <v>55.710607273532958</v>
      </c>
      <c r="G38" s="150">
        <f>($Y$4/(1+$B38)^$L$4+$Y$5/(1+$B38)^$L$5+$Y$6/(1+$B38)^$L$6+$Y$7/(1+$B38)^$L$7+$Y$8/(1+$B38)^$L$8)+($Y$15/($B38-G$33)/(1+$B38)^$L$8)+($Z$4/(1+$B38)^$L$4+$Z$5/(1+$B38)^$L$5+$Z$6/(1+$B38)^$L$6+$Z$7/(1+$B38)^$L$7+$Z$8/(1+$B38)^$L$8)+($Z$15/($B38-G$33)/(1+$B38)^$L$8)</f>
        <v>57.390101067311427</v>
      </c>
      <c r="H38" s="224"/>
      <c r="J38" s="146">
        <f>J37+$I$2</f>
        <v>0.15999999999999998</v>
      </c>
      <c r="K38" s="147">
        <f>($Y$4/(1+$J38)^$L$4+$Y$5/(1+$J38)^$L$5+$Y$6/(1+$J38)^$L$6+$Y$7/(1+$J38)^$L$7+$Y$8/(1+$J38)^$L$8)+($V$11*(1-K$33/$AA$11)/($J38-K$33)/(1+$J38)^$L$8)</f>
        <v>40.180740418111498</v>
      </c>
      <c r="L38" s="147">
        <f>($Y$4/(1+$J38)^$L$4+$Y$5/(1+$J38)^$L$5+$Y$6/(1+$J38)^$L$6+$Y$7/(1+$J38)^$L$7+$Y$8/(1+$J38)^$L$8)+($V$12*(1-L$33/$AA$12)/($J38-L$33)/(1+$J38)^$L$8)</f>
        <v>43.975789271977852</v>
      </c>
      <c r="M38" s="147">
        <f>($Y$4/(1+$J38)^$L$4+$Y$5/(1+$J38)^$L$5+$Y$6/(1+$J38)^$L$6+$Y$7/(1+$J38)^$L$7+$Y$8/(1+$J38)^$L$8)+($V$13*(1-M$33/$AA$13)/($J38-M$33)/(1+$J38)^$L$8)</f>
        <v>47.062067249719895</v>
      </c>
      <c r="N38" s="147">
        <f>($Y$4/(1+$J38)^$L$4+$Y$5/(1+$J38)^$L$5+$Y$6/(1+$J38)^$L$6+$Y$7/(1+$J38)^$L$7+$Y$8/(1+$J38)^$L$8)+($V$14*(1-N$33/$AA$14)/($J38-N$33)/(1+$J38)^$L$8)</f>
        <v>49.591453824792787</v>
      </c>
      <c r="O38" s="147">
        <f>($Y$4/(1+$J38)^$L$4+$Y$5/(1+$J38)^$L$5+$Y$6/(1+$J38)^$L$6+$Y$7/(1+$J38)^$L$7+$Y$8/(1+$J38)^$L$8)+($V$15*(1-O$33/$AA$15)/($J38-O$33)/(1+$J38)^$L$8)</f>
        <v>51.675327277730446</v>
      </c>
      <c r="P38" s="242"/>
      <c r="Q38" s="174"/>
      <c r="R38" s="234"/>
      <c r="S38" s="149">
        <f>S37+$I$2</f>
        <v>0.15999999999999998</v>
      </c>
      <c r="T38" s="150">
        <f t="shared" si="10"/>
        <v>52.882693486220958</v>
      </c>
      <c r="U38" s="150">
        <f t="shared" ref="U38:X38" si="13">($Y$4/(1+$S38)^$L$4+$Y$5/(1+$S38)^$L$5+$Y$6/(1+$S38)^$L$6+$Y$7/(1+$S38)^$L$7+$Y$8/(1+$S38)^$L$8)+($Y15/($S38-U$33)/(1+$S38)^$L$8)+($Z$4/(1+$Y$36)^$L$4+$Z$5/(1+$Y$36)^$L$5+$Z$6/(1+$Y$36)^$L$6+$Z$7/(1+$Y$36)^$L$7+$Z$8/(1+$Y$36)^$L$8)+($Z15/($Y$36-U$33)/(1+$Y$36)^$L$8)</f>
        <v>73.264431801713371</v>
      </c>
      <c r="V38" s="150">
        <f t="shared" si="13"/>
        <v>67.980584693971551</v>
      </c>
      <c r="W38" s="150">
        <f t="shared" si="13"/>
        <v>63.496567210767012</v>
      </c>
      <c r="X38" s="150">
        <f t="shared" si="13"/>
        <v>59.640960326682531</v>
      </c>
      <c r="Y38" s="236"/>
      <c r="Z38" s="163"/>
      <c r="AA38" s="154">
        <f>AA37+$I$2</f>
        <v>0.15999999999999998</v>
      </c>
      <c r="AB38" s="152">
        <f>($Y$4/(1+$AA38)^$L$4+$Y$5/(1+$AA38)^$L$5+$Y$6/(1+$AA38)^$L$6+$Y$7/(1+$AA38)^$L$7+$Y$8/(1+$AA38)^$L$8)+($S$11*$AG$37)/(1+$AA38)^$L$8</f>
        <v>162.27380113100611</v>
      </c>
      <c r="AC38" s="152">
        <f>($Y$4/(1+$AA38)^$L$4+$Y$5/(1+$AA38)^$L$5+$Y$6/(1+$AA38)^$L$6+$Y$7/(1+$AA38)^$L$7+$Y$8/(1+$AA38)^$L$8)+($S$12*$AG$37)/(1+$AA38)^$L$8</f>
        <v>160.77563554891177</v>
      </c>
      <c r="AD38" s="152">
        <f>($Y$4/(1+$AA38)^$L$4+$Y$5/(1+$AA38)^$L$5+$Y$6/(1+$AA38)^$L$6+$Y$7/(1+$AA38)^$L$7+$Y$8/(1+$AA38)^$L$8)+($S$13*$AG$37)/(1+$AA38)^$L$8</f>
        <v>159.27746996681745</v>
      </c>
      <c r="AE38" s="152">
        <f>($Y$4/(1+$AA38)^$L$4+$Y$5/(1+$AA38)^$L$5+$Y$6/(1+$AA38)^$L$6+$Y$7/(1+$AA38)^$L$7+$Y$8/(1+$AA38)^$L$8)+($S$14*$AG$37)/(1+$AA38)^$L$8</f>
        <v>157.77930438472308</v>
      </c>
      <c r="AF38" s="152">
        <f>($Y$4/(1+$AA38)^$L$4+$Y$5/(1+$AA38)^$L$5+$Y$6/(1+$AA38)^$L$6+$Y$7/(1+$AA38)^$L$7+$Y$8/(1+$AA38)^$L$8)+($S$15*$AG$37)/(1+$AA38)^$L$8</f>
        <v>156.28113880262879</v>
      </c>
      <c r="AG38" s="240"/>
    </row>
    <row r="39" spans="1:33" ht="15" customHeight="1" x14ac:dyDescent="0.25">
      <c r="A39" s="159"/>
      <c r="B39" s="154"/>
      <c r="C39" s="152"/>
      <c r="D39" s="152"/>
      <c r="E39" s="152"/>
      <c r="F39" s="152"/>
      <c r="G39" s="152"/>
      <c r="H39" s="158"/>
      <c r="J39" s="155"/>
      <c r="L39" s="159"/>
      <c r="Z39" s="159"/>
      <c r="AA39" s="169"/>
      <c r="AB39" s="170"/>
      <c r="AC39" s="170"/>
      <c r="AD39" s="170"/>
      <c r="AE39" s="170"/>
      <c r="AF39" s="170"/>
      <c r="AG39" s="175"/>
    </row>
    <row r="40" spans="1:33" ht="15" customHeight="1" x14ac:dyDescent="0.25">
      <c r="A40" s="93"/>
      <c r="B40" s="93"/>
      <c r="C40" s="154">
        <f>D40+$I$5</f>
        <v>0.05</v>
      </c>
      <c r="D40" s="154">
        <f>E40+$I$5</f>
        <v>0.04</v>
      </c>
      <c r="E40" s="154">
        <f>$I$11</f>
        <v>0.03</v>
      </c>
      <c r="F40" s="154">
        <f>E40-$I$5</f>
        <v>1.9999999999999997E-2</v>
      </c>
      <c r="G40" s="154">
        <f>F40-$I$5</f>
        <v>9.9999999999999967E-3</v>
      </c>
      <c r="H40" s="225" t="s">
        <v>219</v>
      </c>
      <c r="J40" s="145"/>
      <c r="K40" s="146">
        <f>L40+$I$5</f>
        <v>0.05</v>
      </c>
      <c r="L40" s="146">
        <f>M40+$I$5</f>
        <v>0.04</v>
      </c>
      <c r="M40" s="146">
        <f>$I$11</f>
        <v>0.03</v>
      </c>
      <c r="N40" s="146">
        <f>M40-$I$5</f>
        <v>1.9999999999999997E-2</v>
      </c>
      <c r="O40" s="146">
        <f>N40-$I$5</f>
        <v>9.9999999999999967E-3</v>
      </c>
      <c r="P40" s="230" t="s">
        <v>223</v>
      </c>
      <c r="Q40" s="164"/>
      <c r="S40" s="148"/>
      <c r="T40" s="149">
        <f>U40+$I$5</f>
        <v>0.05</v>
      </c>
      <c r="U40" s="149">
        <f>V40+$I$5</f>
        <v>0.04</v>
      </c>
      <c r="V40" s="149">
        <f>$I$11</f>
        <v>0.03</v>
      </c>
      <c r="W40" s="149">
        <f>V40-$I$5</f>
        <v>1.9999999999999997E-2</v>
      </c>
      <c r="X40" s="149">
        <f>W40-$I$5</f>
        <v>9.9999999999999967E-3</v>
      </c>
      <c r="Y40" s="231" t="s">
        <v>227</v>
      </c>
      <c r="Z40" s="93"/>
      <c r="AA40" s="93"/>
      <c r="AB40" s="154">
        <f>AC40+$I$5</f>
        <v>0.05</v>
      </c>
      <c r="AC40" s="154">
        <f>AD40+$I$5</f>
        <v>0.04</v>
      </c>
      <c r="AD40" s="154">
        <f>$I$11</f>
        <v>0.03</v>
      </c>
      <c r="AE40" s="154">
        <f>AD40-$I$5</f>
        <v>1.9999999999999997E-2</v>
      </c>
      <c r="AF40" s="154">
        <f>AE40-$I$5</f>
        <v>9.9999999999999967E-3</v>
      </c>
      <c r="AG40" s="232" t="s">
        <v>225</v>
      </c>
    </row>
    <row r="41" spans="1:33" ht="15" customHeight="1" x14ac:dyDescent="0.25">
      <c r="A41" s="238" t="s">
        <v>210</v>
      </c>
      <c r="B41" s="154">
        <f>B42-$I$2</f>
        <v>7.9999999999999988E-2</v>
      </c>
      <c r="C41" s="152">
        <f>($Y$4/(1+$AA41)^$L$4+$Y$5/(1+$AA41)^$L$5+$Y$6/(1+$AA41)^$L$6+$Y$7/(1+$AA41)^$L$7+$Y$8/(1+$AA41)^$L$8)+($S$11*$AG$37)/(1+$AA41)^$L$8</f>
        <v>231.33912922829211</v>
      </c>
      <c r="D41" s="152">
        <f>($Y$4/(1+$AA41)^$L$4+$Y$5/(1+$AA41)^$L$5+$Y$6/(1+$AA41)^$L$6+$Y$7/(1+$AA41)^$L$7+$Y$8/(1+$AA41)^$L$8)+($S$12*$AG$37)/(1+$AA41)^$L$8</f>
        <v>229.19756558996002</v>
      </c>
      <c r="E41" s="152">
        <f>($Y$4/(1+$AA41)^$L$4+$Y$5/(1+$AA41)^$L$5+$Y$6/(1+$AA41)^$L$6+$Y$7/(1+$AA41)^$L$7+$Y$8/(1+$AA41)^$L$8)+($S$13*$AG$37)/(1+$AA41)^$L$8</f>
        <v>227.05600195162799</v>
      </c>
      <c r="F41" s="152">
        <f>($Y$4/(1+$AA41)^$L$4+$Y$5/(1+$AA41)^$L$5+$Y$6/(1+$AA41)^$L$6+$Y$7/(1+$AA41)^$L$7+$Y$8/(1+$AA41)^$L$8)+($S$14*$AG$37)/(1+$AA41)^$L$8</f>
        <v>224.91443831329582</v>
      </c>
      <c r="G41" s="152">
        <f>($Y$4/(1+$AA41)^$L$4+$Y$5/(1+$AA41)^$L$5+$Y$6/(1+$AA41)^$L$6+$Y$7/(1+$AA41)^$L$7+$Y$8/(1+$AA41)^$L$8)+($S$15*$AG$37)/(1+$AA41)^$L$8</f>
        <v>222.77287467496382</v>
      </c>
      <c r="H41" s="225"/>
      <c r="J41" s="146">
        <f>J42-$I$2</f>
        <v>7.9999999999999988E-2</v>
      </c>
      <c r="K41" s="147">
        <f>($Y$4/(1+$J41)^$L$4+$Y$5/(1+$J41)^$L$5+$Y$6/(1+$J41)^$L$6+$Y$7/(1+$J41)^$L$7+$Y$8/(1+$J41)^$L$8)+($V$11*(1-K$40/($AA$11+$I$3))/($J41-K$40)/(1+$J41)^$L$8)</f>
        <v>226.23688419355568</v>
      </c>
      <c r="L41" s="147">
        <f>($Y$4/(1+$J41)^$L$4+$Y$5/(1+$J41)^$L$5+$Y$6/(1+$J41)^$L$6+$Y$7/(1+$J41)^$L$7+$Y$8/(1+$J41)^$L$8)+($V$12*(1-L$40/($AA$12+$I$3))/($J41-L$40)/(1+$J41)^$L$8)</f>
        <v>194.67549281568986</v>
      </c>
      <c r="M41" s="147">
        <f>($Y$4/(1+$J41)^$L$4+$Y$5/(1+$J41)^$L$5+$Y$6/(1+$J41)^$L$6+$Y$7/(1+$J41)^$L$7+$Y$8/(1+$J41)^$L$8)+($V$13*(1-M$40/($AA$13+$I$3))/($J41-M$40)/(1+$J41)^$L$8)</f>
        <v>175.35482997372398</v>
      </c>
      <c r="N41" s="147">
        <f>($Y$4/(1+$J41)^$L$4+$Y$5/(1+$J41)^$L$5+$Y$6/(1+$J41)^$L$6+$Y$7/(1+$J41)^$L$7+$Y$8/(1+$J41)^$L$8)+($V$14*(1-N$40/($AA$14+$I$3))/($J41-N$40)/(1+$J41)^$L$8)</f>
        <v>162.15453139970782</v>
      </c>
      <c r="O41" s="147">
        <f>($Y$4/(1+$J41)^$L$4+$Y$5/(1+$J41)^$L$5+$Y$6/(1+$J41)^$L$6+$Y$7/(1+$J41)^$L$7+$Y$8/(1+$J41)^$L$8)+($V$15*(1-O$40/($AA$15+$I$3))/($J41-O$40)/(1+$J41)^$L$8)</f>
        <v>152.45158383594892</v>
      </c>
      <c r="P41" s="230"/>
      <c r="Q41" s="164"/>
      <c r="R41" s="234" t="s">
        <v>233</v>
      </c>
      <c r="S41" s="149">
        <f>S42-$I$2</f>
        <v>7.9999999999999988E-2</v>
      </c>
      <c r="T41" s="150">
        <f>($Y$4/(1+$S41)^$L$4+$Y$5/(1+$S41)^$L$5+$Y$6/(1+$S41)^$L$6+$Y$7/(1+$S41)^$L$7+$Y$8/(1+$S41)^$L$8)+($Y$11/($S41-T$40)/(1+$S41)^$L$8)+($Z$4/(1+$Y$43)^$L$4+$Z$5/(1+$Y$43)^$L$5+$Z$6/(1+$Y$43)^$L$6+$Z$7/(1+$Y$43)^$L$7+$Z$8/(1+$Y$43)^$L$8)+($Z$11/($Y$43-T$40)/(1+$Y$43)^$L$8)</f>
        <v>209.10128129415833</v>
      </c>
      <c r="U41" s="150">
        <f>($Y$4/(1+$S41)^$L$4+$Y$5/(1+$S41)^$L$5+$Y$6/(1+$S41)^$L$6+$Y$7/(1+$S41)^$L$7+$Y$8/(1+$S41)^$L$8)+($Y12/($S41-U$40)/(1+$S41)^$L$8)+($Z$4/(1+$Y$43)^$L$4+$Z$5/(1+$Y$43)^$L$5+$Z$6/(1+$Y$43)^$L$6+$Z$7/(1+$Y$43)^$L$7+$Z$8/(1+$Y$43)^$L$8)+($Z12/($Y$43-U$40)/(1+$Y$43)^$L$8)</f>
        <v>202.83081970669127</v>
      </c>
      <c r="V41" s="150">
        <f>($Y$4/(1+$S41)^$L$4+$Y$5/(1+$S41)^$L$5+$Y$6/(1+$S41)^$L$6+$Y$7/(1+$S41)^$L$7+$Y$8/(1+$S41)^$L$8)+($Y13/($S41-V$40)/(1+$S41)^$L$8)+($Z$4/(1+$Y$43)^$L$4+$Z$5/(1+$Y$43)^$L$5+$Z$6/(1+$Y$43)^$L$6+$Z$7/(1+$Y$43)^$L$7+$Z$8/(1+$Y$43)^$L$8)+($Z13/($Y$43-V$40)/(1+$Y$43)^$L$8)</f>
        <v>172.35182880189134</v>
      </c>
      <c r="W41" s="150">
        <f>($Y$4/(1+$S41)^$L$4+$Y$5/(1+$S41)^$L$5+$Y$6/(1+$S41)^$L$6+$Y$7/(1+$S41)^$L$7+$Y$8/(1+$S41)^$L$8)+($Y14/($S41-W$40)/(1+$S41)^$L$8)+($Z$4/(1+$Y$43)^$L$4+$Z$5/(1+$Y$43)^$L$5+$Z$6/(1+$Y$43)^$L$6+$Z$7/(1+$Y$43)^$L$7+$Z$8/(1+$Y$43)^$L$8)+($Z14/($Y$43-W$40)/(1+$Y$43)^$L$8)</f>
        <v>163.03342717019126</v>
      </c>
      <c r="X41" s="150">
        <f>($Y$4/(1+$S41)^$L$4+$Y$5/(1+$S41)^$L$5+$Y$6/(1+$S41)^$L$6+$Y$7/(1+$S41)^$L$7+$Y$8/(1+$S41)^$L$8)+($Y15/($S41-X$40)/(1+$S41)^$L$8)+($Z$4/(1+$Y$43)^$L$4+$Z$5/(1+$Y$43)^$L$5+$Z$6/(1+$Y$43)^$L$6+$Z$7/(1+$Y$43)^$L$7+$Z$8/(1+$Y$43)^$L$8)+($Z15/($Y$43-X$40)/(1+$Y$43)^$L$8)</f>
        <v>156.32558659468256</v>
      </c>
      <c r="Y41" s="231"/>
      <c r="Z41" s="163"/>
      <c r="AA41" s="154">
        <f>AA42-$I$2</f>
        <v>7.9999999999999988E-2</v>
      </c>
      <c r="AB41" s="152">
        <f>($Y$4/(1+$AA41)^$L$4+$Y$5/(1+$AA41)^$L$5+$Y$6/(1+$AA41)^$L$6+$Y$7/(1+$AA41)^$L$7+$Y$8/(1+$AA41)^$L$8)+($S$11*$AG$44)/(1+$AA41)^$L$8</f>
        <v>266.58337410651552</v>
      </c>
      <c r="AC41" s="152">
        <f>($Y$4/(1+$AA41)^$L$4+$Y$5/(1+$AA41)^$L$5+$Y$6/(1+$AA41)^$L$6+$Y$7/(1+$AA41)^$L$7+$Y$8/(1+$AA41)^$L$8)+($S$12*$AG$44)/(1+$AA41)^$L$8</f>
        <v>264.10615099315271</v>
      </c>
      <c r="AD41" s="152">
        <f>($Y$4/(1+$AA41)^$L$4+$Y$5/(1+$AA41)^$L$5+$Y$6/(1+$AA41)^$L$6+$Y$7/(1+$AA41)^$L$7+$Y$8/(1+$AA41)^$L$8)+($S$13*$AG$44)/(1+$AA41)^$L$8</f>
        <v>261.62892787978996</v>
      </c>
      <c r="AE41" s="152">
        <f>($Y$4/(1+$AA41)^$L$4+$Y$5/(1+$AA41)^$L$5+$Y$6/(1+$AA41)^$L$6+$Y$7/(1+$AA41)^$L$7+$Y$8/(1+$AA41)^$L$8)+($S$14*$AG$44)/(1+$AA41)^$L$8</f>
        <v>259.15170476642703</v>
      </c>
      <c r="AF41" s="152">
        <f>($Y$4/(1+$AA41)^$L$4+$Y$5/(1+$AA41)^$L$5+$Y$6/(1+$AA41)^$L$6+$Y$7/(1+$AA41)^$L$7+$Y$8/(1+$AA41)^$L$8)+($S$15*$AG$44)/(1+$AA41)^$L$8</f>
        <v>256.67448165306439</v>
      </c>
      <c r="AG41" s="232"/>
    </row>
    <row r="42" spans="1:33" ht="15" customHeight="1" x14ac:dyDescent="0.25">
      <c r="A42" s="238"/>
      <c r="B42" s="154">
        <f>B43-$I$2</f>
        <v>9.9999999999999992E-2</v>
      </c>
      <c r="C42" s="152">
        <f>($Y$4/(1+$AA42)^$L$4+$Y$5/(1+$AA42)^$L$5+$Y$6/(1+$AA42)^$L$6+$Y$7/(1+$AA42)^$L$7+$Y$8/(1+$AA42)^$L$8)+($S$11*$AG$37)/(1+$AA42)^$L$8</f>
        <v>211.19760231686155</v>
      </c>
      <c r="D42" s="152">
        <f>($Y$4/(1+$AA42)^$L$4+$Y$5/(1+$AA42)^$L$5+$Y$6/(1+$AA42)^$L$6+$Y$7/(1+$AA42)^$L$7+$Y$8/(1+$AA42)^$L$8)+($S$12*$AG$37)/(1+$AA42)^$L$8</f>
        <v>209.243774285955</v>
      </c>
      <c r="E42" s="152">
        <f>($Y$4/(1+$AA42)^$L$4+$Y$5/(1+$AA42)^$L$5+$Y$6/(1+$AA42)^$L$6+$Y$7/(1+$AA42)^$L$7+$Y$8/(1+$AA42)^$L$8)+($S$13*$AG$37)/(1+$AA42)^$L$8</f>
        <v>207.28994625504851</v>
      </c>
      <c r="F42" s="152">
        <f>($Y$4/(1+$AA42)^$L$4+$Y$5/(1+$AA42)^$L$5+$Y$6/(1+$AA42)^$L$6+$Y$7/(1+$AA42)^$L$7+$Y$8/(1+$AA42)^$L$8)+($S$14*$AG$37)/(1+$AA42)^$L$8</f>
        <v>205.3361182241419</v>
      </c>
      <c r="G42" s="152">
        <f>($Y$4/(1+$AA42)^$L$4+$Y$5/(1+$AA42)^$L$5+$Y$6/(1+$AA42)^$L$6+$Y$7/(1+$AA42)^$L$7+$Y$8/(1+$AA42)^$L$8)+($S$15*$AG$37)/(1+$AA42)^$L$8</f>
        <v>203.38229019323543</v>
      </c>
      <c r="H42" s="225"/>
      <c r="J42" s="146">
        <f>J43-$I$2</f>
        <v>9.9999999999999992E-2</v>
      </c>
      <c r="K42" s="147">
        <f>($Y$4/(1+$J42)^$L$4+$Y$5/(1+$J42)^$L$5+$Y$6/(1+$J42)^$L$6+$Y$7/(1+$J42)^$L$7+$Y$8/(1+$J42)^$L$8)+($V$11*(1-K$40/($AA$11+$I$3))/($J42-K$40)/(1+$J42)^$L$8)</f>
        <v>126.34384445328737</v>
      </c>
      <c r="L42" s="147">
        <f>($Y$4/(1+$J42)^$L$4+$Y$5/(1+$J42)^$L$5+$Y$6/(1+$J42)^$L$6+$Y$7/(1+$J42)^$L$7+$Y$8/(1+$J42)^$L$8)+($V$12*(1-L$40/($AA$12+$I$3))/($J42-L$40)/(1+$J42)^$L$8)</f>
        <v>120.5138899373397</v>
      </c>
      <c r="M42" s="147">
        <f>($Y$4/(1+$J42)^$L$4+$Y$5/(1+$J42)^$L$5+$Y$6/(1+$J42)^$L$6+$Y$7/(1+$J42)^$L$7+$Y$8/(1+$J42)^$L$8)+($V$13*(1-M$40/($AA$13+$I$3))/($J42-M$40)/(1+$J42)^$L$8)</f>
        <v>116.0995077465417</v>
      </c>
      <c r="N42" s="147">
        <f>($Y$4/(1+$J42)^$L$4+$Y$5/(1+$J42)^$L$5+$Y$6/(1+$J42)^$L$6+$Y$7/(1+$J42)^$L$7+$Y$8/(1+$J42)^$L$8)+($V$14*(1-N$40/($AA$14+$I$3))/($J42-N$40)/(1+$J42)^$L$8)</f>
        <v>112.56985825896214</v>
      </c>
      <c r="O42" s="147">
        <f>($Y$4/(1+$J42)^$L$4+$Y$5/(1+$J42)^$L$5+$Y$6/(1+$J42)^$L$6+$Y$7/(1+$J42)^$L$7+$Y$8/(1+$J42)^$L$8)+($V$15*(1-O$40/($AA$15+$I$3))/($J42-O$40)/(1+$J42)^$L$8)</f>
        <v>109.63003057352839</v>
      </c>
      <c r="P42" s="230"/>
      <c r="Q42" s="164"/>
      <c r="R42" s="234"/>
      <c r="S42" s="149">
        <f>S43-$I$2</f>
        <v>9.9999999999999992E-2</v>
      </c>
      <c r="T42" s="150">
        <f>($Y$4/(1+$S42)^$L$4+$Y$5/(1+$S42)^$L$5+$Y$6/(1+$S42)^$L$6+$Y$7/(1+$S42)^$L$7+$Y$8/(1+$S42)^$L$8)+($Y$11/($S42-T$40)/(1+$S42)^$L$8)+($Z$4/(1+$Y$43)^$L$4+$Z$5/(1+$Y$43)^$L$5+$Z$6/(1+$Y$43)^$L$6+$Z$7/(1+$Y$43)^$L$7+$Z$8/(1+$Y$43)^$L$8)+($Z$11/($Y$43-T$40)/(1+$Y$43)^$L$8)</f>
        <v>120.75824813828142</v>
      </c>
      <c r="U42" s="150">
        <f>($Y$4/(1+$S42)^$L$4+$Y$5/(1+$S42)^$L$5+$Y$6/(1+$S42)^$L$6+$Y$7/(1+$S42)^$L$7+$Y$8/(1+$S42)^$L$8)+($Y12/($S42-U$40)/(1+$S42)^$L$8)+($Z$4/(1+$Y$43)^$L$4+$Z$5/(1+$Y$43)^$L$5+$Z$6/(1+$Y$43)^$L$6+$Z$7/(1+$Y$43)^$L$7+$Z$8/(1+$Y$43)^$L$8)+($Z12/($Y$43-U$40)/(1+$Y$43)^$L$8)</f>
        <v>128.53282660431108</v>
      </c>
      <c r="V42" s="150">
        <f>($Y$4/(1+$S42)^$L$4+$Y$5/(1+$S42)^$L$5+$Y$6/(1+$S42)^$L$6+$Y$7/(1+$S42)^$L$7+$Y$8/(1+$S42)^$L$8)+($Y13/($S42-V$40)/(1+$S42)^$L$8)+($Z$4/(1+$Y$43)^$L$4+$Z$5/(1+$Y$43)^$L$5+$Z$6/(1+$Y$43)^$L$6+$Z$7/(1+$Y$43)^$L$7+$Z$8/(1+$Y$43)^$L$8)+($Z13/($Y$43-V$40)/(1+$Y$43)^$L$8)</f>
        <v>116.6977072067133</v>
      </c>
      <c r="W42" s="150">
        <f>($Y$4/(1+$S42)^$L$4+$Y$5/(1+$S42)^$L$5+$Y$6/(1+$S42)^$L$6+$Y$7/(1+$S42)^$L$7+$Y$8/(1+$S42)^$L$8)+($Y14/($S42-W$40)/(1+$S42)^$L$8)+($Z$4/(1+$Y$43)^$L$4+$Z$5/(1+$Y$43)^$L$5+$Z$6/(1+$Y$43)^$L$6+$Z$7/(1+$Y$43)^$L$7+$Z$8/(1+$Y$43)^$L$8)+($Z14/($Y$43-W$40)/(1+$Y$43)^$L$8)</f>
        <v>115.36326891128157</v>
      </c>
      <c r="X42" s="150">
        <f>($Y$4/(1+$S42)^$L$4+$Y$5/(1+$S42)^$L$5+$Y$6/(1+$S42)^$L$6+$Y$7/(1+$S42)^$L$7+$Y$8/(1+$S42)^$L$8)+($Y15/($S42-X$40)/(1+$S42)^$L$8)+($Z$4/(1+$Y$43)^$L$4+$Z$5/(1+$Y$43)^$L$5+$Z$6/(1+$Y$43)^$L$6+$Z$7/(1+$Y$43)^$L$7+$Z$8/(1+$Y$43)^$L$8)+($Z15/($Y$43-X$40)/(1+$Y$43)^$L$8)</f>
        <v>114.29849276520061</v>
      </c>
      <c r="Y42" s="231"/>
      <c r="Z42" s="163"/>
      <c r="AA42" s="154">
        <f>AA43-$I$2</f>
        <v>9.9999999999999992E-2</v>
      </c>
      <c r="AB42" s="152">
        <f t="shared" ref="AB42:AB45" si="14">($Y$4/(1+$AA42)^$L$4+$Y$5/(1+$AA42)^$L$5+$Y$6/(1+$AA42)^$L$6+$Y$7/(1+$AA42)^$L$7+$Y$8/(1+$AA42)^$L$8)+($S$11*$AG$44)/(1+$AA42)^$L$8</f>
        <v>243.35223565983256</v>
      </c>
      <c r="AC42" s="152">
        <f t="shared" ref="AC42:AC45" si="15">($Y$4/(1+$AA42)^$L$4+$Y$5/(1+$AA42)^$L$5+$Y$6/(1+$AA42)^$L$6+$Y$7/(1+$AA42)^$L$7+$Y$8/(1+$AA42)^$L$8)+($S$12*$AG$44)/(1+$AA42)^$L$8</f>
        <v>241.09217302565963</v>
      </c>
      <c r="AD42" s="152">
        <f t="shared" ref="AD42:AD45" si="16">($Y$4/(1+$AA42)^$L$4+$Y$5/(1+$AA42)^$L$5+$Y$6/(1+$AA42)^$L$6+$Y$7/(1+$AA42)^$L$7+$Y$8/(1+$AA42)^$L$8)+($S$13*$AG$44)/(1+$AA42)^$L$8</f>
        <v>238.83211039148671</v>
      </c>
      <c r="AE42" s="152">
        <f t="shared" ref="AE42:AE45" si="17">($Y$4/(1+$AA42)^$L$4+$Y$5/(1+$AA42)^$L$5+$Y$6/(1+$AA42)^$L$6+$Y$7/(1+$AA42)^$L$7+$Y$8/(1+$AA42)^$L$8)+($S$14*$AG$44)/(1+$AA42)^$L$8</f>
        <v>236.57204775731367</v>
      </c>
      <c r="AF42" s="152">
        <f t="shared" ref="AF42:AF44" si="18">($Y$4/(1+$AA42)^$L$4+$Y$5/(1+$AA42)^$L$5+$Y$6/(1+$AA42)^$L$6+$Y$7/(1+$AA42)^$L$7+$Y$8/(1+$AA42)^$L$8)+($S$15*$AG$44)/(1+$AA42)^$L$8</f>
        <v>234.31198512314083</v>
      </c>
      <c r="AG42" s="232"/>
    </row>
    <row r="43" spans="1:33" ht="15" customHeight="1" x14ac:dyDescent="0.25">
      <c r="A43" s="238"/>
      <c r="B43" s="154">
        <f>$I$10</f>
        <v>0.12</v>
      </c>
      <c r="C43" s="152">
        <f>($Y$4/(1+$AA43)^$L$4+$Y$5/(1+$AA43)^$L$5+$Y$6/(1+$AA43)^$L$6+$Y$7/(1+$AA43)^$L$7+$Y$8/(1+$AA43)^$L$8)+($S$11*$AG$37)/(1+$AA43)^$L$8</f>
        <v>193.13109145377112</v>
      </c>
      <c r="D43" s="152">
        <f>($Y$4/(1+$AA43)^$L$4+$Y$5/(1+$AA43)^$L$5+$Y$6/(1+$AA43)^$L$6+$Y$7/(1+$AA43)^$L$7+$Y$8/(1+$AA43)^$L$8)+($S$12*$AG$37)/(1+$AA43)^$L$8</f>
        <v>191.34559230110867</v>
      </c>
      <c r="E43" s="152">
        <f>($Y$4/(1+$AA43)^$L$4+$Y$5/(1+$AA43)^$L$5+$Y$6/(1+$AA43)^$L$6+$Y$7/(1+$AA43)^$L$7+$Y$8/(1+$AA43)^$L$8)+($S$13*$AG$37)/(1+$AA43)^$L$8</f>
        <v>189.56009314844627</v>
      </c>
      <c r="F43" s="152">
        <f>($Y$4/(1+$AA43)^$L$4+$Y$5/(1+$AA43)^$L$5+$Y$6/(1+$AA43)^$L$6+$Y$7/(1+$AA43)^$L$7+$Y$8/(1+$AA43)^$L$8)+($S$14*$AG$37)/(1+$AA43)^$L$8</f>
        <v>187.77459399578376</v>
      </c>
      <c r="G43" s="152">
        <f>($Y$4/(1+$AA43)^$L$4+$Y$5/(1+$AA43)^$L$5+$Y$6/(1+$AA43)^$L$6+$Y$7/(1+$AA43)^$L$7+$Y$8/(1+$AA43)^$L$8)+($S$15*$AG$37)/(1+$AA43)^$L$8</f>
        <v>185.98909484312139</v>
      </c>
      <c r="H43" s="225"/>
      <c r="J43" s="146">
        <f>$I$10</f>
        <v>0.12</v>
      </c>
      <c r="K43" s="147">
        <f>($Y$4/(1+$J43)^$L$4+$Y$5/(1+$J43)^$L$5+$Y$6/(1+$J43)^$L$6+$Y$7/(1+$J43)^$L$7+$Y$8/(1+$J43)^$L$8)+($V$11*(1-K$40/($AA$11+$I$3))/($J43-K$40)/(1+$J43)^$L$8)</f>
        <v>84.178030962172002</v>
      </c>
      <c r="L43" s="147">
        <f>($Y$4/(1+$J43)^$L$4+$Y$5/(1+$J43)^$L$5+$Y$6/(1+$J43)^$L$6+$Y$7/(1+$J43)^$L$7+$Y$8/(1+$J43)^$L$8)+($V$12*(1-L$40/($AA$12+$I$3))/($J43-L$40)/(1+$J43)^$L$8)</f>
        <v>84.108485293578838</v>
      </c>
      <c r="M43" s="147">
        <f>($Y$4/(1+$J43)^$L$4+$Y$5/(1+$J43)^$L$5+$Y$6/(1+$J43)^$L$6+$Y$7/(1+$J43)^$L$7+$Y$8/(1+$J43)^$L$8)+($V$13*(1-M$40/($AA$13+$I$3))/($J43-M$40)/(1+$J43)^$L$8)</f>
        <v>83.876610154135193</v>
      </c>
      <c r="N43" s="147">
        <f>($Y$4/(1+$J43)^$L$4+$Y$5/(1+$J43)^$L$5+$Y$6/(1+$J43)^$L$6+$Y$7/(1+$J43)^$L$7+$Y$8/(1+$J43)^$L$8)+($V$14*(1-N$40/($AA$14+$I$3))/($J43-N$40)/(1+$J43)^$L$8)</f>
        <v>83.531104385096086</v>
      </c>
      <c r="O43" s="147">
        <f>($Y$4/(1+$J43)^$L$4+$Y$5/(1+$J43)^$L$5+$Y$6/(1+$J43)^$L$6+$Y$7/(1+$J43)^$L$7+$Y$8/(1+$J43)^$L$8)+($V$15*(1-O$40/($AA$15+$I$3))/($J43-O$40)/(1+$J43)^$L$8)</f>
        <v>83.102958158169557</v>
      </c>
      <c r="P43" s="235">
        <f>$AA$11+$I$3</f>
        <v>0.11543464505997236</v>
      </c>
      <c r="Q43" s="165"/>
      <c r="R43" s="234"/>
      <c r="S43" s="149">
        <f>$I$10</f>
        <v>0.12</v>
      </c>
      <c r="T43" s="150">
        <f>($Y$4/(1+$S43)^$L$4+$Y$5/(1+$S43)^$L$5+$Y$6/(1+$S43)^$L$6+$Y$7/(1+$S43)^$L$7+$Y$8/(1+$S43)^$L$8)+($Y$11/($S43-T$40)/(1+$S43)^$L$8)+($Z$4/(1+$Y$43)^$L$4+$Z$5/(1+$Y$43)^$L$5+$Z$6/(1+$Y$43)^$L$6+$Z$7/(1+$Y$43)^$L$7+$Z$8/(1+$Y$43)^$L$8)+($Z$11/($Y$43-T$40)/(1+$Y$43)^$L$8)</f>
        <v>83.443328160599194</v>
      </c>
      <c r="U43" s="150">
        <f>($Y$4/(1+$S43)^$L$4+$Y$5/(1+$S43)^$L$5+$Y$6/(1+$S43)^$L$6+$Y$7/(1+$S43)^$L$7+$Y$8/(1+$S43)^$L$8)+($Y12/($S43-U$40)/(1+$S43)^$L$8)+($Z$4/(1+$Y$43)^$L$4+$Z$5/(1+$Y$43)^$L$5+$Z$6/(1+$Y$43)^$L$6+$Z$7/(1+$Y$43)^$L$7+$Z$8/(1+$Y$43)^$L$8)+($Z12/($Y$43-U$40)/(1+$Y$43)^$L$8)</f>
        <v>92.060804233213091</v>
      </c>
      <c r="V43" s="150">
        <f>($Y$4/(1+$S43)^$L$4+$Y$5/(1+$S43)^$L$5+$Y$6/(1+$S43)^$L$6+$Y$7/(1+$S43)^$L$7+$Y$8/(1+$S43)^$L$8)+($Y13/($S43-V$40)/(1+$S43)^$L$8)+($Z$4/(1+$Y$43)^$L$4+$Z$5/(1+$Y$43)^$L$5+$Z$6/(1+$Y$43)^$L$6+$Z$7/(1+$Y$43)^$L$7+$Z$8/(1+$Y$43)^$L$8)+($Z13/($Y$43-V$40)/(1+$Y$43)^$L$8)</f>
        <v>86.423428575018136</v>
      </c>
      <c r="W43" s="150">
        <f>($Y$4/(1+$S43)^$L$4+$Y$5/(1+$S43)^$L$5+$Y$6/(1+$S43)^$L$6+$Y$7/(1+$S43)^$L$7+$Y$8/(1+$S43)^$L$8)+($Y14/($S43-W$40)/(1+$S43)^$L$8)+($Z$4/(1+$Y$43)^$L$4+$Z$5/(1+$Y$43)^$L$5+$Z$6/(1+$Y$43)^$L$6+$Z$7/(1+$Y$43)^$L$7+$Z$8/(1+$Y$43)^$L$8)+($Z14/($Y$43-W$40)/(1+$Y$43)^$L$8)</f>
        <v>87.440256018338061</v>
      </c>
      <c r="X43" s="150">
        <f>($Y$4/(1+$S43)^$L$4+$Y$5/(1+$S43)^$L$5+$Y$6/(1+$S43)^$L$6+$Y$7/(1+$S43)^$L$7+$Y$8/(1+$S43)^$L$8)+($Y15/($S43-X$40)/(1+$S43)^$L$8)+($Z$4/(1+$Y$43)^$L$4+$Z$5/(1+$Y$43)^$L$5+$Z$6/(1+$Y$43)^$L$6+$Z$7/(1+$Y$43)^$L$7+$Z$8/(1+$Y$43)^$L$8)+($Z15/($Y$43-X$40)/(1+$Y$43)^$L$8)</f>
        <v>88.261209506204125</v>
      </c>
      <c r="Y43" s="236">
        <f>'Mkt Val with BOP and required r'!$J$7+$I$2</f>
        <v>0.13999999999999999</v>
      </c>
      <c r="Z43" s="163"/>
      <c r="AA43" s="154">
        <f>$I$10</f>
        <v>0.12</v>
      </c>
      <c r="AB43" s="152">
        <f t="shared" si="14"/>
        <v>222.51549462532759</v>
      </c>
      <c r="AC43" s="152">
        <f t="shared" si="15"/>
        <v>220.4501440138884</v>
      </c>
      <c r="AD43" s="152">
        <f t="shared" si="16"/>
        <v>218.38479340244925</v>
      </c>
      <c r="AE43" s="152">
        <f t="shared" si="17"/>
        <v>216.31944279100998</v>
      </c>
      <c r="AF43" s="152">
        <f t="shared" si="18"/>
        <v>214.2540921795709</v>
      </c>
      <c r="AG43" s="232"/>
    </row>
    <row r="44" spans="1:33" ht="15" customHeight="1" x14ac:dyDescent="0.25">
      <c r="A44" s="238"/>
      <c r="B44" s="154">
        <f>B43+$I$2</f>
        <v>0.13999999999999999</v>
      </c>
      <c r="C44" s="152">
        <f>($Y$4/(1+$AA44)^$L$4+$Y$5/(1+$AA44)^$L$5+$Y$6/(1+$AA44)^$L$6+$Y$7/(1+$AA44)^$L$7+$Y$8/(1+$AA44)^$L$8)+($S$11*$AG$37)/(1+$AA44)^$L$8</f>
        <v>176.89410239865114</v>
      </c>
      <c r="D44" s="152">
        <f>($Y$4/(1+$AA44)^$L$4+$Y$5/(1+$AA44)^$L$5+$Y$6/(1+$AA44)^$L$6+$Y$7/(1+$AA44)^$L$7+$Y$8/(1+$AA44)^$L$8)+($S$12*$AG$37)/(1+$AA44)^$L$8</f>
        <v>175.25982601432406</v>
      </c>
      <c r="E44" s="152">
        <f>($Y$4/(1+$AA44)^$L$4+$Y$5/(1+$AA44)^$L$5+$Y$6/(1+$AA44)^$L$6+$Y$7/(1+$AA44)^$L$7+$Y$8/(1+$AA44)^$L$8)+($S$13*$AG$37)/(1+$AA44)^$L$8</f>
        <v>173.62554962999704</v>
      </c>
      <c r="F44" s="152">
        <f>($Y$4/(1+$AA44)^$L$4+$Y$5/(1+$AA44)^$L$5+$Y$6/(1+$AA44)^$L$6+$Y$7/(1+$AA44)^$L$7+$Y$8/(1+$AA44)^$L$8)+($S$14*$AG$37)/(1+$AA44)^$L$8</f>
        <v>171.9912732456699</v>
      </c>
      <c r="G44" s="152">
        <f>($Y$4/(1+$AA44)^$L$4+$Y$5/(1+$AA44)^$L$5+$Y$6/(1+$AA44)^$L$6+$Y$7/(1+$AA44)^$L$7+$Y$8/(1+$AA44)^$L$8)+($S$15*$AG$37)/(1+$AA44)^$L$8</f>
        <v>170.35699686134288</v>
      </c>
      <c r="H44" s="240">
        <f>'Fin Stmt'!P44</f>
        <v>12.76033478951298</v>
      </c>
      <c r="J44" s="146">
        <f>J43+$I$2</f>
        <v>0.13999999999999999</v>
      </c>
      <c r="K44" s="147">
        <f>($Y$4/(1+$J44)^$L$4+$Y$5/(1+$J44)^$L$5+$Y$6/(1+$J44)^$L$6+$Y$7/(1+$J44)^$L$7+$Y$8/(1+$J44)^$L$8)+($V$11*(1-K$40/($AA$11+$I$3))/($J44-K$40)/(1+$J44)^$L$8)</f>
        <v>61.196875383296522</v>
      </c>
      <c r="L44" s="147">
        <f>($Y$4/(1+$J44)^$L$4+$Y$5/(1+$J44)^$L$5+$Y$6/(1+$J44)^$L$6+$Y$7/(1+$J44)^$L$7+$Y$8/(1+$J44)^$L$8)+($V$12*(1-L$40/($AA$12+$I$3))/($J44-L$40)/(1+$J44)^$L$8)</f>
        <v>62.743145077574944</v>
      </c>
      <c r="M44" s="147">
        <f>($Y$4/(1+$J44)^$L$4+$Y$5/(1+$J44)^$L$5+$Y$6/(1+$J44)^$L$6+$Y$7/(1+$J44)^$L$7+$Y$8/(1+$J44)^$L$8)+($V$13*(1-M$40/($AA$13+$I$3))/($J44-M$40)/(1+$J44)^$L$8)</f>
        <v>63.875134840432217</v>
      </c>
      <c r="N44" s="147">
        <f>($Y$4/(1+$J44)^$L$4+$Y$5/(1+$J44)^$L$5+$Y$6/(1+$J44)^$L$6+$Y$7/(1+$J44)^$L$7+$Y$8/(1+$J44)^$L$8)+($V$14*(1-N$40/($AA$14+$I$3))/($J44-N$40)/(1+$J44)^$L$8)</f>
        <v>64.69641465472354</v>
      </c>
      <c r="O44" s="147">
        <f>($Y$4/(1+$J44)^$L$4+$Y$5/(1+$J44)^$L$5+$Y$6/(1+$J44)^$L$6+$Y$7/(1+$J44)^$L$7+$Y$8/(1+$J44)^$L$8)+($V$15*(1-O$40/($AA$15+$I$3))/($J44-O$40)/(1+$J44)^$L$8)</f>
        <v>65.278686816271943</v>
      </c>
      <c r="P44" s="235"/>
      <c r="Q44" s="165"/>
      <c r="R44" s="234"/>
      <c r="S44" s="149">
        <f>S43+$I$2</f>
        <v>0.13999999999999999</v>
      </c>
      <c r="T44" s="150">
        <f>($Y$4/(1+$S44)^$L$4+$Y$5/(1+$S44)^$L$5+$Y$6/(1+$S44)^$L$6+$Y$7/(1+$S44)^$L$7+$Y$8/(1+$S44)^$L$8)+($Y$11/($S44-T$40)/(1+$S44)^$L$8)+($Z$4/(1+$Y$43)^$L$4+$Z$5/(1+$Y$43)^$L$5+$Z$6/(1+$Y$43)^$L$6+$Z$7/(1+$Y$43)^$L$7+$Z$8/(1+$Y$43)^$L$8)+($Z$11/($Y$43-T$40)/(1+$Y$43)^$L$8)</f>
        <v>63.08916664115015</v>
      </c>
      <c r="U44" s="150">
        <f>($Y$4/(1+$S44)^$L$4+$Y$5/(1+$S44)^$L$5+$Y$6/(1+$S44)^$L$6+$Y$7/(1+$S44)^$L$7+$Y$8/(1+$S44)^$L$8)+($Y12/($S44-U$40)/(1+$S44)^$L$8)+($Z$4/(1+$Y$43)^$L$4+$Z$5/(1+$Y$43)^$L$5+$Z$6/(1+$Y$43)^$L$6+$Z$7/(1+$Y$43)^$L$7+$Z$8/(1+$Y$43)^$L$8)+($Z12/($Y$43-U$40)/(1+$Y$43)^$L$8)</f>
        <v>70.656605692538221</v>
      </c>
      <c r="V44" s="150">
        <f>($Y$4/(1+$S44)^$L$4+$Y$5/(1+$S44)^$L$5+$Y$6/(1+$S44)^$L$6+$Y$7/(1+$S44)^$L$7+$Y$8/(1+$S44)^$L$8)+($Y13/($S44-V$40)/(1+$S44)^$L$8)+($Z$4/(1+$Y$43)^$L$4+$Z$5/(1+$Y$43)^$L$5+$Z$6/(1+$Y$43)^$L$6+$Z$7/(1+$Y$43)^$L$7+$Z$8/(1+$Y$43)^$L$8)+($Z13/($Y$43-V$40)/(1+$Y$43)^$L$8)</f>
        <v>67.624447053665762</v>
      </c>
      <c r="W44" s="150">
        <f>($Y$4/(1+$S44)^$L$4+$Y$5/(1+$S44)^$L$5+$Y$6/(1+$S44)^$L$6+$Y$7/(1+$S44)^$L$7+$Y$8/(1+$S44)^$L$8)+($Y14/($S44-W$40)/(1+$S44)^$L$8)+($Z$4/(1+$Y$43)^$L$4+$Z$5/(1+$Y$43)^$L$5+$Z$6/(1+$Y$43)^$L$6+$Z$7/(1+$Y$43)^$L$7+$Z$8/(1+$Y$43)^$L$8)+($Z14/($Y$43-W$40)/(1+$Y$43)^$L$8)</f>
        <v>69.325177208359094</v>
      </c>
      <c r="X44" s="150">
        <f>($Y$4/(1+$S44)^$L$4+$Y$5/(1+$S44)^$L$5+$Y$6/(1+$S44)^$L$6+$Y$7/(1+$S44)^$L$7+$Y$8/(1+$S44)^$L$8)+($Y15/($S44-X$40)/(1+$S44)^$L$8)+($Z$4/(1+$Y$43)^$L$4+$Z$5/(1+$Y$43)^$L$5+$Z$6/(1+$Y$43)^$L$6+$Z$7/(1+$Y$43)^$L$7+$Z$8/(1+$Y$43)^$L$8)+($Z15/($Y$43-X$40)/(1+$Y$43)^$L$8)</f>
        <v>70.764256570022781</v>
      </c>
      <c r="Y44" s="236"/>
      <c r="Z44" s="163"/>
      <c r="AA44" s="154">
        <f>AA43+$I$2</f>
        <v>0.13999999999999999</v>
      </c>
      <c r="AB44" s="152">
        <f t="shared" si="14"/>
        <v>203.78979489965974</v>
      </c>
      <c r="AC44" s="152">
        <f t="shared" si="15"/>
        <v>201.8993690629421</v>
      </c>
      <c r="AD44" s="152">
        <f t="shared" si="16"/>
        <v>200.00894322622449</v>
      </c>
      <c r="AE44" s="152">
        <f t="shared" si="17"/>
        <v>198.11851738950676</v>
      </c>
      <c r="AF44" s="152">
        <f t="shared" si="18"/>
        <v>196.22809155278921</v>
      </c>
      <c r="AG44" s="240">
        <f>'Fin Stmt'!P44+I7</f>
        <v>14.76033478951298</v>
      </c>
    </row>
    <row r="45" spans="1:33" ht="15" customHeight="1" x14ac:dyDescent="0.25">
      <c r="A45" s="238"/>
      <c r="B45" s="154">
        <f>B44+$I$2</f>
        <v>0.15999999999999998</v>
      </c>
      <c r="C45" s="152">
        <f>($Y$4/(1+$AA45)^$L$4+$Y$5/(1+$AA45)^$L$5+$Y$6/(1+$AA45)^$L$6+$Y$7/(1+$AA45)^$L$7+$Y$8/(1+$AA45)^$L$8)+($S$11*$AG$37)/(1+$AA45)^$L$8</f>
        <v>162.27380113100611</v>
      </c>
      <c r="D45" s="152">
        <f>($Y$4/(1+$AA45)^$L$4+$Y$5/(1+$AA45)^$L$5+$Y$6/(1+$AA45)^$L$6+$Y$7/(1+$AA45)^$L$7+$Y$8/(1+$AA45)^$L$8)+($S$12*$AG$37)/(1+$AA45)^$L$8</f>
        <v>160.77563554891177</v>
      </c>
      <c r="E45" s="152">
        <f>($Y$4/(1+$AA45)^$L$4+$Y$5/(1+$AA45)^$L$5+$Y$6/(1+$AA45)^$L$6+$Y$7/(1+$AA45)^$L$7+$Y$8/(1+$AA45)^$L$8)+($S$13*$AG$37)/(1+$AA45)^$L$8</f>
        <v>159.27746996681745</v>
      </c>
      <c r="F45" s="152">
        <f>($Y$4/(1+$AA45)^$L$4+$Y$5/(1+$AA45)^$L$5+$Y$6/(1+$AA45)^$L$6+$Y$7/(1+$AA45)^$L$7+$Y$8/(1+$AA45)^$L$8)+($S$14*$AG$37)/(1+$AA45)^$L$8</f>
        <v>157.77930438472308</v>
      </c>
      <c r="G45" s="152">
        <f>($Y$4/(1+$AA45)^$L$4+$Y$5/(1+$AA45)^$L$5+$Y$6/(1+$AA45)^$L$6+$Y$7/(1+$AA45)^$L$7+$Y$8/(1+$AA45)^$L$8)+($S$15*$AG$37)/(1+$AA45)^$L$8</f>
        <v>156.28113880262879</v>
      </c>
      <c r="H45" s="240"/>
      <c r="J45" s="146">
        <f>J44+$I$2</f>
        <v>0.15999999999999998</v>
      </c>
      <c r="K45" s="147">
        <f>($Y$4/(1+$J45)^$L$4+$Y$5/(1+$J45)^$L$5+$Y$6/(1+$J45)^$L$6+$Y$7/(1+$J45)^$L$7+$Y$8/(1+$J45)^$L$8)+($V$11*(1-K$40/($AA$11+$I$3))/($J45-K$40)/(1+$J45)^$L$8)</f>
        <v>46.894968058631605</v>
      </c>
      <c r="L45" s="147">
        <f>($Y$4/(1+$J45)^$L$4+$Y$5/(1+$J45)^$L$5+$Y$6/(1+$J45)^$L$6+$Y$7/(1+$J45)^$L$7+$Y$8/(1+$J45)^$L$8)+($V$12*(1-L$40/($AA$12+$I$3))/($J45-L$40)/(1+$J45)^$L$8)</f>
        <v>48.852663189917543</v>
      </c>
      <c r="M45" s="147">
        <f>($Y$4/(1+$J45)^$L$4+$Y$5/(1+$J45)^$L$5+$Y$6/(1+$J45)^$L$6+$Y$7/(1+$J45)^$L$7+$Y$8/(1+$J45)^$L$8)+($V$13*(1-M$40/($AA$13+$I$3))/($J45-M$40)/(1+$J45)^$L$8)</f>
        <v>50.405900180141565</v>
      </c>
      <c r="N45" s="147">
        <f>($Y$4/(1+$J45)^$L$4+$Y$5/(1+$J45)^$L$5+$Y$6/(1+$J45)^$L$6+$Y$7/(1+$J45)^$L$7+$Y$8/(1+$J45)^$L$8)+($V$14*(1-N$40/($AA$14+$I$3))/($J45-N$40)/(1+$J45)^$L$8)</f>
        <v>51.641348630959747</v>
      </c>
      <c r="O45" s="147">
        <f>($Y$4/(1+$J45)^$L$4+$Y$5/(1+$J45)^$L$5+$Y$6/(1+$J45)^$L$6+$Y$7/(1+$J45)^$L$7+$Y$8/(1+$J45)^$L$8)+($V$15*(1-O$40/($AA$15+$I$3))/($J45-O$40)/(1+$J45)^$L$8)</f>
        <v>52.622566250253357</v>
      </c>
      <c r="P45" s="235"/>
      <c r="Q45" s="165"/>
      <c r="R45" s="234"/>
      <c r="S45" s="149">
        <f>S44+$I$2</f>
        <v>0.15999999999999998</v>
      </c>
      <c r="T45" s="150">
        <f>($Y$4/(1+$S45)^$L$4+$Y$5/(1+$S45)^$L$5+$Y$6/(1+$S45)^$L$6+$Y$7/(1+$S45)^$L$7+$Y$8/(1+$S45)^$L$8)+($Y$11/($S45-T$40)/(1+$S45)^$L$8)+($Z$4/(1+$Y$43)^$L$4+$Z$5/(1+$Y$43)^$L$5+$Z$6/(1+$Y$43)^$L$6+$Z$7/(1+$Y$43)^$L$7+$Z$8/(1+$Y$43)^$L$8)+($Z$11/($Y$43-T$40)/(1+$Y$43)^$L$8)</f>
        <v>50.409870717740461</v>
      </c>
      <c r="U45" s="150">
        <f>($Y$4/(1+$S45)^$L$4+$Y$5/(1+$S45)^$L$5+$Y$6/(1+$S45)^$L$6+$Y$7/(1+$S45)^$L$7+$Y$8/(1+$S45)^$L$8)+($Y12/($S45-U$40)/(1+$S45)^$L$8)+($Z$4/(1+$Y$43)^$L$4+$Z$5/(1+$Y$43)^$L$5+$Z$6/(1+$Y$43)^$L$6+$Z$7/(1+$Y$43)^$L$7+$Z$8/(1+$Y$43)^$L$8)+($Z12/($Y$43-U$40)/(1+$Y$43)^$L$8)</f>
        <v>56.741037125144665</v>
      </c>
      <c r="V45" s="150">
        <f>($Y$4/(1+$S45)^$L$4+$Y$5/(1+$S45)^$L$5+$Y$6/(1+$S45)^$L$6+$Y$7/(1+$S45)^$L$7+$Y$8/(1+$S45)^$L$8)+($Y13/($S45-V$40)/(1+$S45)^$L$8)+($Z$4/(1+$Y$43)^$L$4+$Z$5/(1+$Y$43)^$L$5+$Z$6/(1+$Y$43)^$L$6+$Z$7/(1+$Y$43)^$L$7+$Z$8/(1+$Y$43)^$L$8)+($Z13/($Y$43-V$40)/(1+$Y$43)^$L$8)</f>
        <v>54.959649088304623</v>
      </c>
      <c r="W45" s="150">
        <f>($Y$4/(1+$S45)^$L$4+$Y$5/(1+$S45)^$L$5+$Y$6/(1+$S45)^$L$6+$Y$7/(1+$S45)^$L$7+$Y$8/(1+$S45)^$L$8)+($Y14/($S45-W$40)/(1+$S45)^$L$8)+($Z$4/(1+$Y$43)^$L$4+$Z$5/(1+$Y$43)^$L$5+$Z$6/(1+$Y$43)^$L$6+$Z$7/(1+$Y$43)^$L$7+$Z$8/(1+$Y$43)^$L$8)+($Z14/($Y$43-W$40)/(1+$Y$43)^$L$8)</f>
        <v>56.765781806545291</v>
      </c>
      <c r="X45" s="150">
        <f>($Y$4/(1+$S45)^$L$4+$Y$5/(1+$S45)^$L$5+$Y$6/(1+$S45)^$L$6+$Y$7/(1+$S45)^$L$7+$Y$8/(1+$S45)^$L$8)+($Y15/($S45-X$40)/(1+$S45)^$L$8)+($Z$4/(1+$Y$43)^$L$4+$Z$5/(1+$Y$43)^$L$5+$Z$6/(1+$Y$43)^$L$6+$Z$7/(1+$Y$43)^$L$7+$Z$8/(1+$Y$43)^$L$8)+($Z15/($Y$43-X$40)/(1+$Y$43)^$L$8)</f>
        <v>58.339160737244164</v>
      </c>
      <c r="Y45" s="236"/>
      <c r="Z45" s="163"/>
      <c r="AA45" s="154">
        <f>AA44+$I$2</f>
        <v>0.15999999999999998</v>
      </c>
      <c r="AB45" s="152">
        <f t="shared" si="14"/>
        <v>186.92948434226133</v>
      </c>
      <c r="AC45" s="152">
        <f t="shared" si="15"/>
        <v>185.19650272958359</v>
      </c>
      <c r="AD45" s="152">
        <f t="shared" si="16"/>
        <v>183.46352111690589</v>
      </c>
      <c r="AE45" s="152">
        <f t="shared" si="17"/>
        <v>181.73053950422806</v>
      </c>
      <c r="AF45" s="152">
        <f>($Y$4/(1+$AA45)^$L$4+$Y$5/(1+$AA45)^$L$5+$Y$6/(1+$AA45)^$L$6+$Y$7/(1+$AA45)^$L$7+$Y$8/(1+$AA45)^$L$8)+($S$15*$AG$44)/(1+$AA45)^$L$8</f>
        <v>179.99755789155043</v>
      </c>
      <c r="AG45" s="240"/>
    </row>
    <row r="46" spans="1:33" ht="15" customHeight="1" x14ac:dyDescent="0.25">
      <c r="A46" s="159"/>
      <c r="B46" s="154"/>
      <c r="C46" s="152"/>
      <c r="D46" s="152"/>
      <c r="E46" s="152"/>
      <c r="F46" s="152"/>
      <c r="G46" s="152"/>
      <c r="H46" s="158"/>
      <c r="Z46" s="159"/>
      <c r="AA46" s="154"/>
      <c r="AB46" s="152"/>
      <c r="AC46" s="152"/>
      <c r="AD46" s="152"/>
      <c r="AE46" s="152"/>
      <c r="AF46" s="152"/>
      <c r="AG46" s="161"/>
    </row>
    <row r="47" spans="1:33" ht="15" customHeight="1" x14ac:dyDescent="0.25">
      <c r="A47" s="217" t="s">
        <v>210</v>
      </c>
      <c r="B47" s="13"/>
      <c r="C47" s="169">
        <f>D47+$I$5</f>
        <v>0.05</v>
      </c>
      <c r="D47" s="169">
        <f>E47+$I$5</f>
        <v>0.04</v>
      </c>
      <c r="E47" s="169">
        <f>$I$11</f>
        <v>0.03</v>
      </c>
      <c r="F47" s="169">
        <f>E47-$I$5</f>
        <v>1.9999999999999997E-2</v>
      </c>
      <c r="G47" s="169">
        <f>F47-$I$5</f>
        <v>9.9999999999999967E-3</v>
      </c>
      <c r="H47" s="218" t="s">
        <v>232</v>
      </c>
      <c r="J47" s="145"/>
      <c r="K47" s="146">
        <f>L47+$I$5</f>
        <v>0.05</v>
      </c>
      <c r="L47" s="146">
        <f>M47+$I$5</f>
        <v>0.04</v>
      </c>
      <c r="M47" s="146">
        <f>$I$11</f>
        <v>0.03</v>
      </c>
      <c r="N47" s="146">
        <f>M47-$I$5</f>
        <v>1.9999999999999997E-2</v>
      </c>
      <c r="O47" s="146">
        <f>N47-$I$5</f>
        <v>9.9999999999999967E-3</v>
      </c>
      <c r="P47" s="230" t="s">
        <v>223</v>
      </c>
      <c r="Q47" s="164"/>
      <c r="S47" s="148"/>
      <c r="T47" s="149">
        <f>U47+$I$5</f>
        <v>0.05</v>
      </c>
      <c r="U47" s="149">
        <f>V47+$I$5</f>
        <v>0.04</v>
      </c>
      <c r="V47" s="149">
        <f>$I$11</f>
        <v>0.03</v>
      </c>
      <c r="W47" s="149">
        <f>V47-$I$5</f>
        <v>1.9999999999999997E-2</v>
      </c>
      <c r="X47" s="149">
        <f>W47-$I$5</f>
        <v>9.9999999999999967E-3</v>
      </c>
      <c r="Y47" s="231" t="s">
        <v>227</v>
      </c>
      <c r="Z47" s="93"/>
      <c r="AA47" s="93"/>
      <c r="AB47" s="154">
        <f>AC47+$I$5</f>
        <v>0.05</v>
      </c>
      <c r="AC47" s="154">
        <f>AD47+$I$5</f>
        <v>0.04</v>
      </c>
      <c r="AD47" s="154">
        <f>$I$11</f>
        <v>0.03</v>
      </c>
      <c r="AE47" s="154">
        <f>AD47-$I$5</f>
        <v>1.9999999999999997E-2</v>
      </c>
      <c r="AF47" s="154">
        <f>AE47-$I$5</f>
        <v>9.9999999999999967E-3</v>
      </c>
      <c r="AG47" s="232" t="s">
        <v>225</v>
      </c>
    </row>
    <row r="48" spans="1:33" ht="15" customHeight="1" x14ac:dyDescent="0.25">
      <c r="A48" s="217"/>
      <c r="B48" s="169">
        <f>B49-$I$2</f>
        <v>7.9999999999999988E-2</v>
      </c>
      <c r="C48" s="170">
        <f>($AB$4/(1+$B48)^$L$4+$AB$5/(1+$B48)^$L$5+$AB$6/(1+$B48)^$L$6+$AB$7/(1+$B48)^$L$7+$AB$8/(1+$B48)^$L$8)+($AB11/($B48-C$47)/(1+$B48)^$L$8)+U11</f>
        <v>66.384336912827138</v>
      </c>
      <c r="D48" s="170">
        <f>($AB$4/(1+$B48)^$L$4+$AB$5/(1+$B48)^$L$5+$AB$6/(1+$B48)^$L$6+$AB$7/(1+$B48)^$L$7+$AB$8/(1+$B48)^$L$8)+($AB$12/($B48-D$47)/(1+$B48)^$L$8)+U12</f>
        <v>91.052670165457641</v>
      </c>
      <c r="E48" s="170">
        <f>($Y$4/(1+$B48)^$L$4+$Y$5/(1+$B48)^$L$5+$Y$6/(1+$B48)^$L$6+$Y$7/(1+$B48)^$L$7+$Y$8/(1+$B48)^$L$8)+($Y$13/($B48-E$47)/(1+$B48)^$L$8)</f>
        <v>165.01637439165086</v>
      </c>
      <c r="F48" s="170">
        <f>($Y$4/(1+$B48)^$L$4+$Y$5/(1+$B48)^$L$5+$Y$6/(1+$B48)^$L$6+$Y$7/(1+$B48)^$L$7+$Y$8/(1+$B48)^$L$8)+($Y$14/($B48-F$47)/(1+$B48)^$L$8)</f>
        <v>156.09108828585067</v>
      </c>
      <c r="G48" s="170">
        <f>($Y$4/(1+$B48)^$L$4+$Y$5/(1+$B48)^$L$5+$Y$6/(1+$B48)^$L$6+$Y$7/(1+$B48)^$L$7+$Y$8/(1+$B48)^$L$8)+($Y$15/($B48-G$47)/(1+$B48)^$L$8)</f>
        <v>149.71588392456496</v>
      </c>
      <c r="H48" s="218"/>
      <c r="J48" s="146">
        <f>J49-$I$2</f>
        <v>7.9999999999999988E-2</v>
      </c>
      <c r="K48" s="147">
        <f>($Y$4/(1+$J48)^$L$4+$Y$5/(1+$J48)^$L$5+$Y$6/(1+$J48)^$L$6+$Y$7/(1+$J48)^$L$7+$Y$8/(1+$J48)^$L$8)+($V$11*(1-K$47/($AA$11+$I$3+$I$3))/($J48-K$47)/(1+$J48)^$L$8)</f>
        <v>251.03478676803806</v>
      </c>
      <c r="L48" s="147">
        <f>($Y$4/(1+$J48)^$L$4+$Y$5/(1+$J48)^$L$5+$Y$6/(1+$J48)^$L$6+$Y$7/(1+$J48)^$L$7+$Y$8/(1+$J48)^$L$8)+($V$12*(1-L$47/($AA$12+$I$3+$I$3))/($J48-L$47)/(1+$J48)^$L$8)</f>
        <v>209.41253205995372</v>
      </c>
      <c r="M48" s="147">
        <f>($Y$4/(1+$J48)^$L$4+$Y$5/(1+$J48)^$L$5+$Y$6/(1+$J48)^$L$6+$Y$7/(1+$J48)^$L$7+$Y$8/(1+$J48)^$L$8)+($V$13*(1-M$47/($AA$13+$I$3+$I$3))/($J48-M$47)/(1+$J48)^$L$8)</f>
        <v>184.11203214002688</v>
      </c>
      <c r="N48" s="147">
        <f>($Y$4/(1+$J48)^$L$4+$Y$5/(1+$J48)^$L$5+$Y$6/(1+$J48)^$L$6+$Y$7/(1+$J48)^$L$7+$Y$8/(1+$J48)^$L$8)+($V$14*(1-N$47/($AA$14+$I$3+$I$3))/($J48-N$47)/(1+$J48)^$L$8)</f>
        <v>166.97240961417867</v>
      </c>
      <c r="O48" s="147">
        <f>($Y$4/(1+$J48)^$L$4+$Y$5/(1+$J48)^$L$5+$Y$6/(1+$J48)^$L$6+$Y$7/(1+$J48)^$L$7+$Y$8/(1+$J48)^$L$8)+($V$15*(1-O$47/($AA$15+$I$3+$I$3))/($J48-O$47)/(1+$J48)^$L$8)</f>
        <v>154.49614559923279</v>
      </c>
      <c r="P48" s="230"/>
      <c r="Q48" s="164"/>
      <c r="R48" s="234" t="s">
        <v>233</v>
      </c>
      <c r="S48" s="149">
        <f>S49-$I$2</f>
        <v>7.9999999999999988E-2</v>
      </c>
      <c r="T48" s="150">
        <f>($Y$4/(1+$S48)^$L$4+$Y$5/(1+$S48)^$L$5+$Y$6/(1+$S48)^$L$6+$Y$7/(1+$S48)^$L$7+$Y$8/(1+$S48)^$L$8)+($Y$11/($S48-T$47)/(1+$S48)^$L$8)+($Z$4/(1+$Y$50)^$L$4+$Z$5/(1+$Y$50)^$L$5+$Z$6/(1+$Y$50)^$L$6+$Z$7/(1+$Y$50)^$L$7+$Z$8/(1+$Y$50)^$L$8)+($Z$11/($Y$50-T$47)/(1+$Y$50)^$L$8)</f>
        <v>207.53136142085728</v>
      </c>
      <c r="U48" s="150">
        <f>($Y$4/(1+$S48)^$L$4+$Y$5/(1+$S48)^$L$5+$Y$6/(1+$S48)^$L$6+$Y$7/(1+$S48)^$L$7+$Y$8/(1+$S48)^$L$8)+($Y12/($S48-U$47)/(1+$S48)^$L$8)+($Z$4/(1+$Y$50)^$L$4+$Z$5/(1+$Y$50)^$L$5+$Z$6/(1+$Y$50)^$L$6+$Z$7/(1+$Y$50)^$L$7+$Z$8/(1+$Y$50)^$L$8)+($Z12/($Y$50-U$47)/(1+$Y$50)^$L$8)</f>
        <v>201.4770943945577</v>
      </c>
      <c r="V48" s="150">
        <f>($Y$4/(1+$S48)^$L$4+$Y$5/(1+$S48)^$L$5+$Y$6/(1+$S48)^$L$6+$Y$7/(1+$S48)^$L$7+$Y$8/(1+$S48)^$L$8)+($Y13/($S48-V$47)/(1+$S48)^$L$8)+($Z$4/(1+$Y$50)^$L$4+$Z$5/(1+$Y$50)^$L$5+$Z$6/(1+$Y$50)^$L$6+$Z$7/(1+$Y$50)^$L$7+$Z$8/(1+$Y$50)^$L$8)+($Z13/($Y$50-V$47)/(1+$Y$50)^$L$8)</f>
        <v>171.16490953275996</v>
      </c>
      <c r="W48" s="150">
        <f>($Y$4/(1+$S48)^$L$4+$Y$5/(1+$S48)^$L$5+$Y$6/(1+$S48)^$L$6+$Y$7/(1+$S48)^$L$7+$Y$8/(1+$S48)^$L$8)+($Y14/($S48-W$47)/(1+$S48)^$L$8)+($Z$4/(1+$Y$50)^$L$4+$Z$5/(1+$Y$50)^$L$5+$Z$6/(1+$Y$50)^$L$6+$Z$7/(1+$Y$50)^$L$7+$Z$8/(1+$Y$50)^$L$8)+($Z14/($Y$50-W$47)/(1+$Y$50)^$L$8)</f>
        <v>161.97825263717894</v>
      </c>
      <c r="X48" s="150">
        <f>($Y$4/(1+$S48)^$L$4+$Y$5/(1+$S48)^$L$5+$Y$6/(1+$S48)^$L$6+$Y$7/(1+$S48)^$L$7+$Y$8/(1+$S48)^$L$8)+($Y15/($S48-X$47)/(1+$S48)^$L$8)+($Z$4/(1+$Y$50)^$L$4+$Z$5/(1+$Y$50)^$L$5+$Z$6/(1+$Y$50)^$L$6+$Z$7/(1+$Y$50)^$L$7+$Z$8/(1+$Y$50)^$L$8)+($Z15/($Y$50-X$47)/(1+$Y$50)^$L$8)</f>
        <v>155.37652692474984</v>
      </c>
      <c r="Y48" s="231"/>
      <c r="Z48" s="163"/>
      <c r="AA48" s="154">
        <f>AA49-$I$2</f>
        <v>7.9999999999999988E-2</v>
      </c>
      <c r="AB48" s="152">
        <f>($Y$4/(1+$AA48)^$L$4+$Y$5/(1+$AA48)^$L$5+$Y$6/(1+$AA48)^$L$6+$Y$7/(1+$AA48)^$L$7+$Y$8/(1+$AA48)^$L$8)+($S$11*$AG$51)/(1+$AA48)^$L$8</f>
        <v>301.82761898473893</v>
      </c>
      <c r="AC48" s="152">
        <f>($Y$4/(1+$AA48)^$L$4+$Y$5/(1+$AA48)^$L$5+$Y$6/(1+$AA48)^$L$6+$Y$7/(1+$AA48)^$L$7+$Y$8/(1+$AA48)^$L$8)+($S$12*$AG$51)/(1+$AA48)^$L$8</f>
        <v>299.01473639634548</v>
      </c>
      <c r="AD48" s="152">
        <f>($Y$4/(1+$AA48)^$L$4+$Y$5/(1+$AA48)^$L$5+$Y$6/(1+$AA48)^$L$6+$Y$7/(1+$AA48)^$L$7+$Y$8/(1+$AA48)^$L$8)+($S$13*$AG$51)/(1+$AA48)^$L$8</f>
        <v>296.20185380795192</v>
      </c>
      <c r="AE48" s="152">
        <f>($Y$4/(1+$AA48)^$L$4+$Y$5/(1+$AA48)^$L$5+$Y$6/(1+$AA48)^$L$6+$Y$7/(1+$AA48)^$L$7+$Y$8/(1+$AA48)^$L$8)+($S$14*$AG$51)/(1+$AA48)^$L$8</f>
        <v>293.38897121955836</v>
      </c>
      <c r="AF48" s="152">
        <f>($Y$4/(1+$AA48)^$L$4+$Y$5/(1+$AA48)^$L$5+$Y$6/(1+$AA48)^$L$6+$Y$7/(1+$AA48)^$L$7+$Y$8/(1+$AA48)^$L$8)+($S$15*$AG$51)/(1+$AA48)^$L$8</f>
        <v>290.57608863116491</v>
      </c>
      <c r="AG48" s="232"/>
    </row>
    <row r="49" spans="1:33" ht="15" customHeight="1" x14ac:dyDescent="0.25">
      <c r="A49" s="217"/>
      <c r="B49" s="169">
        <f>B50-$I$2</f>
        <v>9.9999999999999992E-2</v>
      </c>
      <c r="C49" s="170">
        <f>($Y$4/(1+$B49)^$L$4+$Y$5/(1+$B49)^$L$5+$Y$6/(1+$B49)^$L$6+$Y$7/(1+$B49)^$L$7+$Y$8/(1+$B49)^$L$8)+($Y12/($B49-C$47)/(1+$B49)^$L$8)</f>
        <v>143.66162846125127</v>
      </c>
      <c r="D49" s="170">
        <f>($Y$4/(1+$B49)^$L$4+$Y$5/(1+$B49)^$L$5+$Y$6/(1+$B49)^$L$6+$Y$7/(1+$B49)^$L$7+$Y$8/(1+$B49)^$L$8)+($Y$12/($B49-D$47)/(1+$B49)^$L$8)</f>
        <v>120.72563356299071</v>
      </c>
      <c r="E49" s="170">
        <f>($Y$4/(1+$B49)^$L$4+$Y$5/(1+$B49)^$L$5+$Y$6/(1+$B49)^$L$6+$Y$7/(1+$B49)^$L$7+$Y$8/(1+$B49)^$L$8)+($Y$13/($B49-E$47)/(1+$B49)^$L$8)</f>
        <v>109.3622527964728</v>
      </c>
      <c r="F49" s="170">
        <f>($Y$4/(1+$B49)^$L$4+$Y$5/(1+$B49)^$L$5+$Y$6/(1+$B49)^$L$6+$Y$7/(1+$B49)^$L$7+$Y$8/(1+$B49)^$L$8)+($Y$14/($B49-F$47)/(1+$B49)^$L$8)</f>
        <v>108.42093002694097</v>
      </c>
      <c r="G49" s="170">
        <f>($Y$4/(1+$B49)^$L$4+$Y$5/(1+$B49)^$L$5+$Y$6/(1+$B49)^$L$6+$Y$7/(1+$B49)^$L$7+$Y$8/(1+$B49)^$L$8)+($Y$15/($B49-G$47)/(1+$B49)^$L$8)</f>
        <v>107.68879009508298</v>
      </c>
      <c r="H49" s="218"/>
      <c r="J49" s="146">
        <f>J50-$I$2</f>
        <v>9.9999999999999992E-2</v>
      </c>
      <c r="K49" s="147">
        <f>($Y$4/(1+$J49)^$L$4+$Y$5/(1+$J49)^$L$5+$Y$6/(1+$J49)^$L$6+$Y$7/(1+$J49)^$L$7+$Y$8/(1+$J49)^$L$8)+($V$11*(1-K$47/($AA$11+$I$3+$I$3))/($J49-K$47)/(1+$J49)^$L$8)</f>
        <v>139.91827286358148</v>
      </c>
      <c r="L49" s="147">
        <f>($Y$4/(1+$J49)^$L$4+$Y$5/(1+$J49)^$L$5+$Y$6/(1+$J49)^$L$6+$Y$7/(1+$J49)^$L$7+$Y$8/(1+$J49)^$L$8)+($V$12*(1-L$47/($AA$12+$I$3+$I$3))/($J49-L$47)/(1+$J49)^$L$8)</f>
        <v>129.47732203048628</v>
      </c>
      <c r="M49" s="147">
        <f>($Y$4/(1+$J49)^$L$4+$Y$5/(1+$J49)^$L$5+$Y$6/(1+$J49)^$L$6+$Y$7/(1+$J49)^$L$7+$Y$8/(1+$J49)^$L$8)+($V$13*(1-M$47/($AA$13+$I$3+$I$3))/($J49-M$47)/(1+$J49)^$L$8)</f>
        <v>121.80630826188985</v>
      </c>
      <c r="N49" s="147">
        <f>($Y$4/(1+$J49)^$L$4+$Y$5/(1+$J49)^$L$5+$Y$6/(1+$J49)^$L$6+$Y$7/(1+$J49)^$L$7+$Y$8/(1+$J49)^$L$8)+($V$14*(1-N$47/($AA$14+$I$3+$I$3))/($J49-N$47)/(1+$J49)^$L$8)</f>
        <v>115.86650515860502</v>
      </c>
      <c r="O49" s="147">
        <f>($Y$4/(1+$J49)^$L$4+$Y$5/(1+$J49)^$L$5+$Y$6/(1+$J49)^$L$6+$Y$7/(1+$J49)^$L$7+$Y$8/(1+$J49)^$L$8)+($V$15*(1-O$47/($AA$15+$I$3+$I$3))/($J49-O$47)/(1+$J49)^$L$8)</f>
        <v>111.08084249886141</v>
      </c>
      <c r="P49" s="230"/>
      <c r="Q49" s="164"/>
      <c r="R49" s="234"/>
      <c r="S49" s="149">
        <f>S50-$I$2</f>
        <v>9.9999999999999992E-2</v>
      </c>
      <c r="T49" s="150">
        <f t="shared" ref="T49:T51" si="19">($Y$4/(1+$S49)^$L$4+$Y$5/(1+$S49)^$L$5+$Y$6/(1+$S49)^$L$6+$Y$7/(1+$S49)^$L$7+$Y$8/(1+$S49)^$L$8)+($Y$11/($S49-T$47)/(1+$S49)^$L$8)+($Z$4/(1+$Y$50)^$L$4+$Z$5/(1+$Y$50)^$L$5+$Z$6/(1+$Y$50)^$L$6+$Z$7/(1+$Y$50)^$L$7+$Z$8/(1+$Y$50)^$L$8)+($Z$11/($Y$50-T$47)/(1+$Y$50)^$L$8)</f>
        <v>119.18832826498033</v>
      </c>
      <c r="U49" s="150">
        <f>($Y$4/(1+$S49)^$L$4+$Y$5/(1+$S49)^$L$5+$Y$6/(1+$S49)^$L$6+$Y$7/(1+$S49)^$L$7+$Y$8/(1+$S49)^$L$8)+($Y12/($S49-U$47)/(1+$S49)^$L$8)+($Z$4/(1+$Y$50)^$L$4+$Z$5/(1+$Y$50)^$L$5+$Z$6/(1+$Y$50)^$L$6+$Z$7/(1+$Y$50)^$L$7+$Z$8/(1+$Y$50)^$L$8)+($Z12/($Y$50-U$47)/(1+$Y$50)^$L$8)</f>
        <v>127.17910129217746</v>
      </c>
      <c r="V49" s="150">
        <f>($Y$4/(1+$S49)^$L$4+$Y$5/(1+$S49)^$L$5+$Y$6/(1+$S49)^$L$6+$Y$7/(1+$S49)^$L$7+$Y$8/(1+$S49)^$L$8)+($Y13/($S49-V$47)/(1+$S49)^$L$8)+($Z$4/(1+$Y$50)^$L$4+$Z$5/(1+$Y$50)^$L$5+$Z$6/(1+$Y$50)^$L$6+$Z$7/(1+$Y$50)^$L$7+$Z$8/(1+$Y$50)^$L$8)+($Z13/($Y$50-V$47)/(1+$Y$50)^$L$8)</f>
        <v>115.51078793758191</v>
      </c>
      <c r="W49" s="150">
        <f>($Y$4/(1+$S49)^$L$4+$Y$5/(1+$S49)^$L$5+$Y$6/(1+$S49)^$L$6+$Y$7/(1+$S49)^$L$7+$Y$8/(1+$S49)^$L$8)+($Y14/($S49-W$47)/(1+$S49)^$L$8)+($Z$4/(1+$Y$50)^$L$4+$Z$5/(1+$Y$50)^$L$5+$Z$6/(1+$Y$50)^$L$6+$Z$7/(1+$Y$50)^$L$7+$Z$8/(1+$Y$50)^$L$8)+($Z14/($Y$50-W$47)/(1+$Y$50)^$L$8)</f>
        <v>114.30809437826923</v>
      </c>
      <c r="X49" s="150">
        <f>($Y$4/(1+$S49)^$L$4+$Y$5/(1+$S49)^$L$5+$Y$6/(1+$S49)^$L$6+$Y$7/(1+$S49)^$L$7+$Y$8/(1+$S49)^$L$8)+($Y15/($S49-X$47)/(1+$S49)^$L$8)+($Z$4/(1+$Y$50)^$L$4+$Z$5/(1+$Y$50)^$L$5+$Z$6/(1+$Y$50)^$L$6+$Z$7/(1+$Y$50)^$L$7+$Z$8/(1+$Y$50)^$L$8)+($Z15/($Y$50-X$47)/(1+$Y$50)^$L$8)</f>
        <v>113.34943309526784</v>
      </c>
      <c r="Y49" s="231"/>
      <c r="Z49" s="163"/>
      <c r="AA49" s="154">
        <f>AA50-$I$2</f>
        <v>9.9999999999999992E-2</v>
      </c>
      <c r="AB49" s="152">
        <f t="shared" ref="AB49:AB52" si="20">($Y$4/(1+$AA49)^$L$4+$Y$5/(1+$AA49)^$L$5+$Y$6/(1+$AA49)^$L$6+$Y$7/(1+$AA49)^$L$7+$Y$8/(1+$AA49)^$L$8)+($S$11*$AG$51)/(1+$AA49)^$L$8</f>
        <v>275.50686900280357</v>
      </c>
      <c r="AC49" s="152">
        <f t="shared" ref="AC49:AC52" si="21">($Y$4/(1+$AA49)^$L$4+$Y$5/(1+$AA49)^$L$5+$Y$6/(1+$AA49)^$L$6+$Y$7/(1+$AA49)^$L$7+$Y$8/(1+$AA49)^$L$8)+($S$12*$AG$51)/(1+$AA49)^$L$8</f>
        <v>272.94057176536427</v>
      </c>
      <c r="AD49" s="152">
        <f t="shared" ref="AD49:AD52" si="22">($Y$4/(1+$AA49)^$L$4+$Y$5/(1+$AA49)^$L$5+$Y$6/(1+$AA49)^$L$6+$Y$7/(1+$AA49)^$L$7+$Y$8/(1+$AA49)^$L$8)+($S$13*$AG$51)/(1+$AA49)^$L$8</f>
        <v>270.37427452792491</v>
      </c>
      <c r="AE49" s="152">
        <f t="shared" ref="AE49:AE52" si="23">($Y$4/(1+$AA49)^$L$4+$Y$5/(1+$AA49)^$L$5+$Y$6/(1+$AA49)^$L$6+$Y$7/(1+$AA49)^$L$7+$Y$8/(1+$AA49)^$L$8)+($S$14*$AG$51)/(1+$AA49)^$L$8</f>
        <v>267.8079772904855</v>
      </c>
      <c r="AF49" s="152">
        <f t="shared" ref="AF49:AF52" si="24">($Y$4/(1+$AA49)^$L$4+$Y$5/(1+$AA49)^$L$5+$Y$6/(1+$AA49)^$L$6+$Y$7/(1+$AA49)^$L$7+$Y$8/(1+$AA49)^$L$8)+($S$15*$AG$51)/(1+$AA49)^$L$8</f>
        <v>265.2416800530462</v>
      </c>
      <c r="AG49" s="232"/>
    </row>
    <row r="50" spans="1:33" ht="15" customHeight="1" x14ac:dyDescent="0.25">
      <c r="A50" s="217"/>
      <c r="B50" s="169">
        <f>$I$10</f>
        <v>0.12</v>
      </c>
      <c r="C50" s="170">
        <f>($Y$4/(1+$B50)^$L$4+$Y$5/(1+$B50)^$L$5+$Y$6/(1+$B50)^$L$6+$Y$7/(1+$B50)^$L$7+$Y$8/(1+$B50)^$L$8)+($Y13/($B50-C$47)/(1+$B50)^$L$8)</f>
        <v>100.06920094779203</v>
      </c>
      <c r="D50" s="170">
        <f>($Y$4/(1+$B50)^$L$4+$Y$5/(1+$B50)^$L$5+$Y$6/(1+$B50)^$L$6+$Y$7/(1+$B50)^$L$7+$Y$8/(1+$B50)^$L$8)+($Y$12/($B50-D$47)/(1+$B50)^$L$8)</f>
        <v>84.25361119189273</v>
      </c>
      <c r="E50" s="170">
        <f>($Y$4/(1+$B50)^$L$4+$Y$5/(1+$B50)^$L$5+$Y$6/(1+$B50)^$L$6+$Y$7/(1+$B50)^$L$7+$Y$8/(1+$B50)^$L$8)+($Y$13/($B50-E$47)/(1+$B50)^$L$8)</f>
        <v>79.087974164777634</v>
      </c>
      <c r="F50" s="170">
        <f>($Y$4/(1+$B50)^$L$4+$Y$5/(1+$B50)^$L$5+$Y$6/(1+$B50)^$L$6+$Y$7/(1+$B50)^$L$7+$Y$8/(1+$B50)^$L$8)+($Y$14/($B50-F$47)/(1+$B50)^$L$8)</f>
        <v>80.497917133997461</v>
      </c>
      <c r="G50" s="170">
        <f>($Y$4/(1+$B50)^$L$4+$Y$5/(1+$B50)^$L$5+$Y$6/(1+$B50)^$L$6+$Y$7/(1+$B50)^$L$7+$Y$8/(1+$B50)^$L$8)+($Y$15/($B50-G$47)/(1+$B50)^$L$8)</f>
        <v>81.651506836086497</v>
      </c>
      <c r="H50" s="218"/>
      <c r="J50" s="146">
        <f>$I$10</f>
        <v>0.12</v>
      </c>
      <c r="K50" s="147">
        <f>($Y$4/(1+$J50)^$L$4+$Y$5/(1+$J50)^$L$5+$Y$6/(1+$J50)^$L$6+$Y$7/(1+$J50)^$L$7+$Y$8/(1+$J50)^$L$8)+($V$11*(1-K$47/($AA$11+$I$3+$I$3))/($J50-K$47)/(1+$J50)^$L$8)</f>
        <v>93.038706386833979</v>
      </c>
      <c r="L50" s="147">
        <f>($Y$4/(1+$J50)^$L$4+$Y$5/(1+$J50)^$L$5+$Y$6/(1+$J50)^$L$6+$Y$7/(1+$J50)^$L$7+$Y$8/(1+$J50)^$L$8)+($V$12*(1-L$47/($AA$12+$I$3+$I$3))/($J50-L$47)/(1+$J50)^$L$8)</f>
        <v>90.251886921344493</v>
      </c>
      <c r="M50" s="147">
        <f>($Y$4/(1+$J50)^$L$4+$Y$5/(1+$J50)^$L$5+$Y$6/(1+$J50)^$L$6+$Y$7/(1+$J50)^$L$7+$Y$8/(1+$J50)^$L$8)+($V$13*(1-M$47/($AA$13+$I$3+$I$3))/($J50-M$47)/(1+$J50)^$L$8)</f>
        <v>87.932830459647121</v>
      </c>
      <c r="N50" s="147">
        <f>($Y$4/(1+$J50)^$L$4+$Y$5/(1+$J50)^$L$5+$Y$6/(1+$J50)^$L$6+$Y$7/(1+$J50)^$L$7+$Y$8/(1+$J50)^$L$8)+($V$14*(1-N$47/($AA$14+$I$3+$I$3))/($J50-N$47)/(1+$J50)^$L$8)</f>
        <v>85.941208100604157</v>
      </c>
      <c r="O50" s="147">
        <f>($Y$4/(1+$J50)^$L$4+$Y$5/(1+$J50)^$L$5+$Y$6/(1+$J50)^$L$6+$Y$7/(1+$J50)^$L$7+$Y$8/(1+$J50)^$L$8)+($V$15*(1-O$47/($AA$15+$I$3+$I$3))/($J50-O$47)/(1+$J50)^$L$8)</f>
        <v>84.187719634400906</v>
      </c>
      <c r="P50" s="235">
        <f>$AA$11+$I$3+$I$3</f>
        <v>0.13543464505997235</v>
      </c>
      <c r="Q50" s="165"/>
      <c r="R50" s="234"/>
      <c r="S50" s="149">
        <f>$I$10</f>
        <v>0.12</v>
      </c>
      <c r="T50" s="150">
        <f t="shared" si="19"/>
        <v>81.873408287298105</v>
      </c>
      <c r="U50" s="150">
        <f>($Y$4/(1+$S50)^$L$4+$Y$5/(1+$S50)^$L$5+$Y$6/(1+$S50)^$L$6+$Y$7/(1+$S50)^$L$7+$Y$8/(1+$S50)^$L$8)+($Y12/($S50-U$47)/(1+$S50)^$L$8)+($Z$4/(1+$Y$50)^$L$4+$Z$5/(1+$Y$50)^$L$5+$Z$6/(1+$Y$50)^$L$6+$Z$7/(1+$Y$50)^$L$7+$Z$8/(1+$Y$50)^$L$8)+($Z12/($Y$50-U$47)/(1+$Y$50)^$L$8)</f>
        <v>90.707078921079486</v>
      </c>
      <c r="V50" s="150">
        <f>($Y$4/(1+$S50)^$L$4+$Y$5/(1+$S50)^$L$5+$Y$6/(1+$S50)^$L$6+$Y$7/(1+$S50)^$L$7+$Y$8/(1+$S50)^$L$8)+($Y13/($S50-V$47)/(1+$S50)^$L$8)+($Z$4/(1+$Y$50)^$L$4+$Z$5/(1+$Y$50)^$L$5+$Z$6/(1+$Y$50)^$L$6+$Z$7/(1+$Y$50)^$L$7+$Z$8/(1+$Y$50)^$L$8)+($Z13/($Y$50-V$47)/(1+$Y$50)^$L$8)</f>
        <v>85.236509305886742</v>
      </c>
      <c r="W50" s="150">
        <f>($Y$4/(1+$S50)^$L$4+$Y$5/(1+$S50)^$L$5+$Y$6/(1+$S50)^$L$6+$Y$7/(1+$S50)^$L$7+$Y$8/(1+$S50)^$L$8)+($Y14/($S50-W$47)/(1+$S50)^$L$8)+($Z$4/(1+$Y$50)^$L$4+$Z$5/(1+$Y$50)^$L$5+$Z$6/(1+$Y$50)^$L$6+$Z$7/(1+$Y$50)^$L$7+$Z$8/(1+$Y$50)^$L$8)+($Z14/($Y$50-W$47)/(1+$Y$50)^$L$8)</f>
        <v>86.385081485325728</v>
      </c>
      <c r="X50" s="150">
        <f>($Y$4/(1+$S50)^$L$4+$Y$5/(1+$S50)^$L$5+$Y$6/(1+$S50)^$L$6+$Y$7/(1+$S50)^$L$7+$Y$8/(1+$S50)^$L$8)+($Y15/($S50-X$47)/(1+$S50)^$L$8)+($Z$4/(1+$Y$50)^$L$4+$Z$5/(1+$Y$50)^$L$5+$Z$6/(1+$Y$50)^$L$6+$Z$7/(1+$Y$50)^$L$7+$Z$8/(1+$Y$50)^$L$8)+($Z15/($Y$50-X$47)/(1+$Y$50)^$L$8)</f>
        <v>87.31214983627136</v>
      </c>
      <c r="Y50" s="236">
        <f>'Mkt Val with BOP and required r'!$J$7+$I$2+$I$2</f>
        <v>0.15999999999999998</v>
      </c>
      <c r="Z50" s="163"/>
      <c r="AA50" s="154">
        <f>$I$10</f>
        <v>0.12</v>
      </c>
      <c r="AB50" s="152">
        <f t="shared" si="20"/>
        <v>251.89989779688406</v>
      </c>
      <c r="AC50" s="152">
        <f t="shared" si="21"/>
        <v>249.55469572666817</v>
      </c>
      <c r="AD50" s="152">
        <f t="shared" si="22"/>
        <v>247.20949365645225</v>
      </c>
      <c r="AE50" s="152">
        <f t="shared" si="23"/>
        <v>244.86429158623625</v>
      </c>
      <c r="AF50" s="152">
        <f t="shared" si="24"/>
        <v>242.51908951602041</v>
      </c>
      <c r="AG50" s="232"/>
    </row>
    <row r="51" spans="1:33" ht="15" customHeight="1" x14ac:dyDescent="0.25">
      <c r="A51" s="217"/>
      <c r="B51" s="169">
        <f>B50+$I$2</f>
        <v>0.13999999999999999</v>
      </c>
      <c r="C51" s="170">
        <f>($Y$4/(1+$B51)^$L$4+$Y$5/(1+$B51)^$L$5+$Y$6/(1+$B51)^$L$6+$Y$7/(1+$B51)^$L$7+$Y$8/(1+$B51)^$L$8)+($Y14/($B51-C$47)/(1+$B51)^$L$8)</f>
        <v>81.412090417251534</v>
      </c>
      <c r="D51" s="170">
        <f>($Y$4/(1+$B51)^$L$4+$Y$5/(1+$B51)^$L$5+$Y$6/(1+$B51)^$L$6+$Y$7/(1+$B51)^$L$7+$Y$8/(1+$B51)^$L$8)+($Y$12/($B51-D$47)/(1+$B51)^$L$8)</f>
        <v>62.849412651217861</v>
      </c>
      <c r="E51" s="170">
        <f>($Y$4/(1+$B51)^$L$4+$Y$5/(1+$B51)^$L$5+$Y$6/(1+$B51)^$L$6+$Y$7/(1+$B51)^$L$7+$Y$8/(1+$B51)^$L$8)+($Y$13/($B51-E$47)/(1+$B51)^$L$8)</f>
        <v>60.288992643425274</v>
      </c>
      <c r="F51" s="170">
        <f>($Y$4/(1+$B51)^$L$4+$Y$5/(1+$B51)^$L$5+$Y$6/(1+$B51)^$L$6+$Y$7/(1+$B51)^$L$7+$Y$8/(1+$B51)^$L$8)+($Y$14/($B51-F$47)/(1+$B51)^$L$8)</f>
        <v>62.382838324018493</v>
      </c>
      <c r="G51" s="170">
        <f>($Y$4/(1+$B51)^$L$4+$Y$5/(1+$B51)^$L$5+$Y$6/(1+$B51)^$L$6+$Y$7/(1+$B51)^$L$7+$Y$8/(1+$B51)^$L$8)+($Y$15/($B51-G$47)/(1+$B51)^$L$8)</f>
        <v>64.154553899905153</v>
      </c>
      <c r="H51" s="218"/>
      <c r="J51" s="146">
        <f>J50+$I$2</f>
        <v>0.13999999999999999</v>
      </c>
      <c r="K51" s="147">
        <f>($Y$4/(1+$J51)^$L$4+$Y$5/(1+$J51)^$L$5+$Y$6/(1+$J51)^$L$6+$Y$7/(1+$J51)^$L$7+$Y$8/(1+$J51)^$L$8)+($V$11*(1-K$47/($AA$11+$I$3+$I$3))/($J51-K$47)/(1+$J51)^$L$8)</f>
        <v>67.504824994339202</v>
      </c>
      <c r="L51" s="147">
        <f>($Y$4/(1+$J51)^$L$4+$Y$5/(1+$J51)^$L$5+$Y$6/(1+$J51)^$L$6+$Y$7/(1+$J51)^$L$7+$Y$8/(1+$J51)^$L$8)+($V$12*(1-L$47/($AA$12+$I$3+$I$3))/($J51-L$47)/(1+$J51)^$L$8)</f>
        <v>67.241614285907119</v>
      </c>
      <c r="M51" s="147">
        <f>($Y$4/(1+$J51)^$L$4+$Y$5/(1+$J51)^$L$5+$Y$6/(1+$J51)^$L$6+$Y$7/(1+$J51)^$L$7+$Y$8/(1+$J51)^$L$8)+($V$13*(1-M$47/($AA$13+$I$3+$I$3))/($J51-M$47)/(1+$J51)^$L$8)</f>
        <v>66.912781224555104</v>
      </c>
      <c r="N51" s="147">
        <f>($Y$4/(1+$J51)^$L$4+$Y$5/(1+$J51)^$L$5+$Y$6/(1+$J51)^$L$6+$Y$7/(1+$J51)^$L$7+$Y$8/(1+$J51)^$L$8)+($V$14*(1-N$47/($AA$14+$I$3+$I$3))/($J51-N$47)/(1+$J51)^$L$8)</f>
        <v>66.534731398513117</v>
      </c>
      <c r="O51" s="147">
        <f>($Y$4/(1+$J51)^$L$4+$Y$5/(1+$J51)^$L$5+$Y$6/(1+$J51)^$L$6+$Y$7/(1+$J51)^$L$7+$Y$8/(1+$J51)^$L$8)+($V$15*(1-O$47/($AA$15+$I$3+$I$3))/($J51-O$47)/(1+$J51)^$L$8)</f>
        <v>66.118822522709721</v>
      </c>
      <c r="P51" s="235"/>
      <c r="Q51" s="165"/>
      <c r="R51" s="234"/>
      <c r="S51" s="149">
        <f>S50+$I$2</f>
        <v>0.13999999999999999</v>
      </c>
      <c r="T51" s="150">
        <f t="shared" si="19"/>
        <v>61.519246767849083</v>
      </c>
      <c r="U51" s="150">
        <f>($Y$4/(1+$S51)^$L$4+$Y$5/(1+$S51)^$L$5+$Y$6/(1+$S51)^$L$6+$Y$7/(1+$S51)^$L$7+$Y$8/(1+$S51)^$L$8)+($Y12/($S51-U$47)/(1+$S51)^$L$8)+($Z$4/(1+$Y$50)^$L$4+$Z$5/(1+$Y$50)^$L$5+$Z$6/(1+$Y$50)^$L$6+$Z$7/(1+$Y$50)^$L$7+$Z$8/(1+$Y$50)^$L$8)+($Z12/($Y$50-U$47)/(1+$Y$50)^$L$8)</f>
        <v>69.302880380404616</v>
      </c>
      <c r="V51" s="150">
        <f>($Y$4/(1+$S51)^$L$4+$Y$5/(1+$S51)^$L$5+$Y$6/(1+$S51)^$L$6+$Y$7/(1+$S51)^$L$7+$Y$8/(1+$S51)^$L$8)+($Y13/($S51-V$47)/(1+$S51)^$L$8)+($Z$4/(1+$Y$50)^$L$4+$Z$5/(1+$Y$50)^$L$5+$Z$6/(1+$Y$50)^$L$6+$Z$7/(1+$Y$50)^$L$7+$Z$8/(1+$Y$50)^$L$8)+($Z13/($Y$50-V$47)/(1+$Y$50)^$L$8)</f>
        <v>66.437527784534382</v>
      </c>
      <c r="W51" s="150">
        <f>($Y$4/(1+$S51)^$L$4+$Y$5/(1+$S51)^$L$5+$Y$6/(1+$S51)^$L$6+$Y$7/(1+$S51)^$L$7+$Y$8/(1+$S51)^$L$8)+($Y14/($S51-W$47)/(1+$S51)^$L$8)+($Z$4/(1+$Y$50)^$L$4+$Z$5/(1+$Y$50)^$L$5+$Z$6/(1+$Y$50)^$L$6+$Z$7/(1+$Y$50)^$L$7+$Z$8/(1+$Y$50)^$L$8)+($Z14/($Y$50-W$47)/(1+$Y$50)^$L$8)</f>
        <v>68.27000267534676</v>
      </c>
      <c r="X51" s="150">
        <f>($Y$4/(1+$S51)^$L$4+$Y$5/(1+$S51)^$L$5+$Y$6/(1+$S51)^$L$6+$Y$7/(1+$S51)^$L$7+$Y$8/(1+$S51)^$L$8)+($Y15/($S51-X$47)/(1+$S51)^$L$8)+($Z$4/(1+$Y$50)^$L$4+$Z$5/(1+$Y$50)^$L$5+$Z$6/(1+$Y$50)^$L$6+$Z$7/(1+$Y$50)^$L$7+$Z$8/(1+$Y$50)^$L$8)+($Z15/($Y$50-X$47)/(1+$Y$50)^$L$8)</f>
        <v>69.815196900090015</v>
      </c>
      <c r="Y51" s="236"/>
      <c r="Z51" s="163"/>
      <c r="AA51" s="154">
        <f>AA50+$I$2</f>
        <v>0.13999999999999999</v>
      </c>
      <c r="AB51" s="152">
        <f t="shared" si="20"/>
        <v>230.68548740066834</v>
      </c>
      <c r="AC51" s="152">
        <f t="shared" si="21"/>
        <v>228.53891211156017</v>
      </c>
      <c r="AD51" s="152">
        <f t="shared" si="22"/>
        <v>226.39233682245194</v>
      </c>
      <c r="AE51" s="152">
        <f t="shared" si="23"/>
        <v>224.24576153334365</v>
      </c>
      <c r="AF51" s="152">
        <f>($Y$4/(1+$AA51)^$L$4+$Y$5/(1+$AA51)^$L$5+$Y$6/(1+$AA51)^$L$6+$Y$7/(1+$AA51)^$L$7+$Y$8/(1+$AA51)^$L$8)+($S$15*$AG$51)/(1+$AA51)^$L$8</f>
        <v>222.09918624423551</v>
      </c>
      <c r="AG51" s="240">
        <f>'Fin Stmt'!P44+I7+I7</f>
        <v>16.760334789512982</v>
      </c>
    </row>
    <row r="52" spans="1:33" ht="15" customHeight="1" x14ac:dyDescent="0.25">
      <c r="A52" s="217"/>
      <c r="B52" s="169">
        <f>B51+$I$2</f>
        <v>0.15999999999999998</v>
      </c>
      <c r="C52" s="170">
        <f>($Y$4/(1+$B52)^$L$4+$Y$5/(1+$B52)^$L$5+$Y$6/(1+$B52)^$L$6+$Y$7/(1+$B52)^$L$7+$Y$8/(1+$B52)^$L$8)+($Y15/($B52-C$47)/(1+$B52)^$L$8)</f>
        <v>68.734200996586921</v>
      </c>
      <c r="D52" s="170">
        <f>($Y$4/(1+$B52)^$L$4+$Y$5/(1+$B52)^$L$5+$Y$6/(1+$B52)^$L$6+$Y$7/(1+$B52)^$L$7+$Y$8/(1+$B52)^$L$8)+($Y$12/($B52-D$47)/(1+$B52)^$L$8)</f>
        <v>48.933844083824312</v>
      </c>
      <c r="E52" s="170">
        <f>($Y$4/(1+$B52)^$L$4+$Y$5/(1+$B52)^$L$5+$Y$6/(1+$B52)^$L$6+$Y$7/(1+$B52)^$L$7+$Y$8/(1+$B52)^$L$8)+($Y$13/($B52-E$47)/(1+$B52)^$L$8)</f>
        <v>47.624194678064136</v>
      </c>
      <c r="F52" s="170">
        <f>($Y$4/(1+$B52)^$L$4+$Y$5/(1+$B52)^$L$5+$Y$6/(1+$B52)^$L$6+$Y$7/(1+$B52)^$L$7+$Y$8/(1+$B52)^$L$8)+($Y$14/($B52-F$47)/(1+$B52)^$L$8)</f>
        <v>49.823442922204691</v>
      </c>
      <c r="G52" s="170">
        <f>($Y$4/(1+$B52)^$L$4+$Y$5/(1+$B52)^$L$5+$Y$6/(1+$B52)^$L$6+$Y$7/(1+$B52)^$L$7+$Y$8/(1+$B52)^$L$8)+($Y$15/($B52-G$47)/(1+$B52)^$L$8)</f>
        <v>51.729458067126551</v>
      </c>
      <c r="H52" s="218"/>
      <c r="J52" s="146">
        <f>J51+$I$2</f>
        <v>0.15999999999999998</v>
      </c>
      <c r="K52" s="147">
        <f>($Y$4/(1+$J52)^$L$4+$Y$5/(1+$J52)^$L$5+$Y$6/(1+$J52)^$L$6+$Y$7/(1+$J52)^$L$7+$Y$8/(1+$J52)^$L$8)+($V$11*(1-K$47/($AA$11+$I$3+$I$3))/($J52-K$47)/(1+$J52)^$L$8)</f>
        <v>51.626179422172669</v>
      </c>
      <c r="L52" s="147">
        <f>($Y$4/(1+$J52)^$L$4+$Y$5/(1+$J52)^$L$5+$Y$6/(1+$J52)^$L$6+$Y$7/(1+$J52)^$L$7+$Y$8/(1+$J52)^$L$8)+($V$12*(1-L$47/($AA$12+$I$3+$I$3))/($J52-L$47)/(1+$J52)^$L$8)</f>
        <v>52.289174808895943</v>
      </c>
      <c r="M52" s="147">
        <f>($Y$4/(1+$J52)^$L$4+$Y$5/(1+$J52)^$L$5+$Y$6/(1+$J52)^$L$6+$Y$7/(1+$J52)^$L$7+$Y$8/(1+$J52)^$L$8)+($V$13*(1-M$47/($AA$13+$I$3+$I$3))/($J52-M$47)/(1+$J52)^$L$8)</f>
        <v>52.762147421852347</v>
      </c>
      <c r="N52" s="147">
        <f>($Y$4/(1+$J52)^$L$4+$Y$5/(1+$J52)^$L$5+$Y$6/(1+$J52)^$L$6+$Y$7/(1+$J52)^$L$7+$Y$8/(1+$J52)^$L$8)+($V$14*(1-N$47/($AA$14+$I$3+$I$3))/($J52-N$47)/(1+$J52)^$L$8)</f>
        <v>53.085816426849028</v>
      </c>
      <c r="O52" s="147">
        <f>($Y$4/(1+$J52)^$L$4+$Y$5/(1+$J52)^$L$5+$Y$6/(1+$J52)^$L$6+$Y$7/(1+$J52)^$L$7+$Y$8/(1+$J52)^$L$8)+($V$15*(1-O$47/($AA$15+$I$3+$I$3))/($J52-O$47)/(1+$J52)^$L$8)</f>
        <v>53.290042545478009</v>
      </c>
      <c r="P52" s="235"/>
      <c r="Q52" s="165"/>
      <c r="R52" s="234"/>
      <c r="S52" s="149">
        <f>S51+$I$2</f>
        <v>0.15999999999999998</v>
      </c>
      <c r="T52" s="150">
        <f>($Y$4/(1+$S52)^$L$4+$Y$5/(1+$S52)^$L$5+$Y$6/(1+$S52)^$L$6+$Y$7/(1+$S52)^$L$7+$Y$8/(1+$S52)^$L$8)+($Y$11/($S52-T$47)/(1+$S52)^$L$8)+($Z$4/(1+$Y$50)^$L$4+$Z$5/(1+$Y$50)^$L$5+$Z$6/(1+$Y$50)^$L$6+$Z$7/(1+$Y$50)^$L$7+$Z$8/(1+$Y$50)^$L$8)+($Z$11/($Y$50-T$47)/(1+$Y$50)^$L$8)</f>
        <v>48.839950844439393</v>
      </c>
      <c r="U52" s="150">
        <f>($Y$4/(1+$S52)^$L$4+$Y$5/(1+$S52)^$L$5+$Y$6/(1+$S52)^$L$6+$Y$7/(1+$S52)^$L$7+$Y$8/(1+$S52)^$L$8)+($Y12/($S52-U$47)/(1+$S52)^$L$8)+($Z$4/(1+$Y$50)^$L$4+$Z$5/(1+$Y$50)^$L$5+$Z$6/(1+$Y$50)^$L$6+$Z$7/(1+$Y$50)^$L$7+$Z$8/(1+$Y$50)^$L$8)+($Z12/($Y$50-U$47)/(1+$Y$50)^$L$8)</f>
        <v>55.387311813011067</v>
      </c>
      <c r="V52" s="150">
        <f>($Y$4/(1+$S52)^$L$4+$Y$5/(1+$S52)^$L$5+$Y$6/(1+$S52)^$L$6+$Y$7/(1+$S52)^$L$7+$Y$8/(1+$S52)^$L$8)+($Y13/($S52-V$47)/(1+$S52)^$L$8)+($Z$4/(1+$Y$50)^$L$4+$Z$5/(1+$Y$50)^$L$5+$Z$6/(1+$Y$50)^$L$6+$Z$7/(1+$Y$50)^$L$7+$Z$8/(1+$Y$50)^$L$8)+($Z13/($Y$50-V$47)/(1+$Y$50)^$L$8)</f>
        <v>53.772729819173243</v>
      </c>
      <c r="W52" s="150">
        <f>($Y$4/(1+$S52)^$L$4+$Y$5/(1+$S52)^$L$5+$Y$6/(1+$S52)^$L$6+$Y$7/(1+$S52)^$L$7+$Y$8/(1+$S52)^$L$8)+($Y14/($S52-W$47)/(1+$S52)^$L$8)+($Z$4/(1+$Y$50)^$L$4+$Z$5/(1+$Y$50)^$L$5+$Z$6/(1+$Y$50)^$L$6+$Z$7/(1+$Y$50)^$L$7+$Z$8/(1+$Y$50)^$L$8)+($Z14/($Y$50-W$47)/(1+$Y$50)^$L$8)</f>
        <v>55.710607273532958</v>
      </c>
      <c r="X52" s="150">
        <f>($Y$4/(1+$S52)^$L$4+$Y$5/(1+$S52)^$L$5+$Y$6/(1+$S52)^$L$6+$Y$7/(1+$S52)^$L$7+$Y$8/(1+$S52)^$L$8)+($Y15/($S52-X$47)/(1+$S52)^$L$8)+($Z$4/(1+$Y$50)^$L$4+$Z$5/(1+$Y$50)^$L$5+$Z$6/(1+$Y$50)^$L$6+$Z$7/(1+$Y$50)^$L$7+$Z$8/(1+$Y$50)^$L$8)+($Z15/($Y$50-X$47)/(1+$Y$50)^$L$8)</f>
        <v>57.390101067311427</v>
      </c>
      <c r="Y52" s="236"/>
      <c r="Z52" s="163"/>
      <c r="AA52" s="154">
        <f>AA51+$I$2</f>
        <v>0.15999999999999998</v>
      </c>
      <c r="AB52" s="152">
        <f t="shared" si="20"/>
        <v>211.58516755351656</v>
      </c>
      <c r="AC52" s="152">
        <f t="shared" si="21"/>
        <v>209.61736991025546</v>
      </c>
      <c r="AD52" s="152">
        <f t="shared" si="22"/>
        <v>207.64957226699431</v>
      </c>
      <c r="AE52" s="152">
        <f t="shared" si="23"/>
        <v>205.68177462373313</v>
      </c>
      <c r="AF52" s="152">
        <f t="shared" si="24"/>
        <v>203.71397698047207</v>
      </c>
      <c r="AG52" s="240"/>
    </row>
    <row r="53" spans="1:33" ht="15" customHeight="1" x14ac:dyDescent="0.25">
      <c r="J53" s="155"/>
      <c r="L53" s="159"/>
      <c r="Z53" s="159"/>
      <c r="AA53" s="154"/>
      <c r="AB53" s="152"/>
      <c r="AC53" s="152"/>
      <c r="AD53" s="152"/>
      <c r="AE53" s="152"/>
      <c r="AF53" s="152"/>
      <c r="AG53" s="158"/>
    </row>
    <row r="54" spans="1:33" ht="15" customHeight="1" x14ac:dyDescent="0.25"/>
    <row r="55" spans="1:33" ht="15" customHeight="1" x14ac:dyDescent="0.25"/>
    <row r="58" spans="1:33" x14ac:dyDescent="0.25">
      <c r="I58" s="93"/>
      <c r="J58" s="155"/>
      <c r="L58" s="159"/>
    </row>
    <row r="59" spans="1:33" ht="15" customHeight="1" x14ac:dyDescent="0.25"/>
  </sheetData>
  <mergeCells count="62">
    <mergeCell ref="B3:H4"/>
    <mergeCell ref="I3:I4"/>
    <mergeCell ref="B5:H6"/>
    <mergeCell ref="I5:I6"/>
    <mergeCell ref="B7:H8"/>
    <mergeCell ref="I7:I8"/>
    <mergeCell ref="P50:P52"/>
    <mergeCell ref="P43:P45"/>
    <mergeCell ref="P36:P38"/>
    <mergeCell ref="Y33:Y35"/>
    <mergeCell ref="R34:R38"/>
    <mergeCell ref="Y40:Y42"/>
    <mergeCell ref="R41:R45"/>
    <mergeCell ref="Y43:Y45"/>
    <mergeCell ref="Y47:Y49"/>
    <mergeCell ref="R48:R52"/>
    <mergeCell ref="Y50:Y52"/>
    <mergeCell ref="P40:P42"/>
    <mergeCell ref="P47:P49"/>
    <mergeCell ref="Y36:Y38"/>
    <mergeCell ref="P33:P35"/>
    <mergeCell ref="A41:A45"/>
    <mergeCell ref="H26:H29"/>
    <mergeCell ref="H30:H31"/>
    <mergeCell ref="H40:H43"/>
    <mergeCell ref="H44:H45"/>
    <mergeCell ref="A34:A38"/>
    <mergeCell ref="A20:A24"/>
    <mergeCell ref="K18:O18"/>
    <mergeCell ref="T18:X18"/>
    <mergeCell ref="B18:G18"/>
    <mergeCell ref="A27:A31"/>
    <mergeCell ref="P19:P21"/>
    <mergeCell ref="P22:P24"/>
    <mergeCell ref="P26:P28"/>
    <mergeCell ref="P29:P31"/>
    <mergeCell ref="AG19:AG22"/>
    <mergeCell ref="AG23:AG24"/>
    <mergeCell ref="AG26:AG29"/>
    <mergeCell ref="AG30:AG31"/>
    <mergeCell ref="R20:R24"/>
    <mergeCell ref="R27:R31"/>
    <mergeCell ref="Y19:Y21"/>
    <mergeCell ref="Y22:Y24"/>
    <mergeCell ref="Y26:Y28"/>
    <mergeCell ref="Y29:Y31"/>
    <mergeCell ref="A47:A52"/>
    <mergeCell ref="H47:H52"/>
    <mergeCell ref="K2:M2"/>
    <mergeCell ref="AG37:AG38"/>
    <mergeCell ref="AG33:AG36"/>
    <mergeCell ref="H33:H38"/>
    <mergeCell ref="AB18:AF18"/>
    <mergeCell ref="K17:O17"/>
    <mergeCell ref="AB17:AF17"/>
    <mergeCell ref="T17:X17"/>
    <mergeCell ref="B17:G17"/>
    <mergeCell ref="AG40:AG43"/>
    <mergeCell ref="AG47:AG50"/>
    <mergeCell ref="AG44:AG45"/>
    <mergeCell ref="AG51:AG52"/>
    <mergeCell ref="H19:H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 Stmt</vt:lpstr>
      <vt:lpstr>Mkt Val without BOP</vt:lpstr>
      <vt:lpstr>Mkt Val with BOP and required r</vt:lpstr>
      <vt:lpstr>Tax Schedule</vt:lpstr>
      <vt:lpstr>Fin Stmt - Val Only</vt:lpstr>
      <vt:lpstr>Val Matrix - WACC</vt:lpstr>
      <vt:lpstr>Val Matrix - Investor r</vt:lpstr>
    </vt:vector>
  </TitlesOfParts>
  <Manager/>
  <Company>Westminster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Anyone</dc:creator>
  <cp:keywords/>
  <dc:description/>
  <cp:lastModifiedBy>Richard Haskell</cp:lastModifiedBy>
  <cp:revision/>
  <dcterms:created xsi:type="dcterms:W3CDTF">2015-09-15T14:34:05Z</dcterms:created>
  <dcterms:modified xsi:type="dcterms:W3CDTF">2018-11-07T02:29:24Z</dcterms:modified>
  <cp:category/>
  <cp:contentStatus/>
</cp:coreProperties>
</file>