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cedu-my.sharepoint.com/personal/rhaskell_westminstercollege_edu/Documents/EXCEL TEMPLATES/"/>
    </mc:Choice>
  </mc:AlternateContent>
  <bookViews>
    <workbookView xWindow="0" yWindow="0" windowWidth="28800" windowHeight="12300"/>
  </bookViews>
  <sheets>
    <sheet name="Forecast &amp; VAL" sheetId="13" r:id="rId1"/>
    <sheet name="Forecast &amp; VAL with Adjusts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4" l="1"/>
  <c r="O7" i="14"/>
  <c r="O6" i="14"/>
  <c r="O5" i="14"/>
  <c r="I12" i="14"/>
  <c r="J12" i="14" s="1"/>
  <c r="I5" i="14" s="1"/>
  <c r="H12" i="14"/>
  <c r="E12" i="14"/>
  <c r="D12" i="14"/>
  <c r="C12" i="14"/>
  <c r="F8" i="14"/>
  <c r="F7" i="14"/>
  <c r="F6" i="14"/>
  <c r="F5" i="14"/>
  <c r="F4" i="14"/>
  <c r="O17" i="14" s="1"/>
  <c r="O13" i="14" s="1"/>
  <c r="N24" i="14" s="1"/>
  <c r="O24" i="14" s="1"/>
  <c r="P24" i="14" s="1"/>
  <c r="D9" i="14"/>
  <c r="D8" i="14"/>
  <c r="D7" i="14"/>
  <c r="D6" i="14"/>
  <c r="D4" i="14"/>
  <c r="D3" i="14"/>
  <c r="F3" i="14" s="1"/>
  <c r="N23" i="14"/>
  <c r="A23" i="14"/>
  <c r="D17" i="14"/>
  <c r="A13" i="14"/>
  <c r="A24" i="14" s="1"/>
  <c r="F12" i="14"/>
  <c r="O9" i="14" l="1"/>
  <c r="C17" i="14" s="1"/>
  <c r="C13" i="14" s="1"/>
  <c r="C14" i="14" s="1"/>
  <c r="D14" i="14" s="1"/>
  <c r="G12" i="14"/>
  <c r="L12" i="14" s="1"/>
  <c r="M12" i="14" s="1"/>
  <c r="E17" i="14"/>
  <c r="I4" i="14"/>
  <c r="B12" i="14"/>
  <c r="B13" i="14" s="1"/>
  <c r="B14" i="14" s="1"/>
  <c r="B15" i="14" s="1"/>
  <c r="H13" i="14"/>
  <c r="H14" i="14" s="1"/>
  <c r="H15" i="14" s="1"/>
  <c r="A14" i="14"/>
  <c r="A25" i="14" s="1"/>
  <c r="A14" i="13"/>
  <c r="A24" i="13" s="1"/>
  <c r="A13" i="13"/>
  <c r="A23" i="13" s="1"/>
  <c r="A22" i="13"/>
  <c r="F3" i="13"/>
  <c r="O9" i="13"/>
  <c r="I13" i="14" l="1"/>
  <c r="J13" i="14" s="1"/>
  <c r="D13" i="14"/>
  <c r="K12" i="14"/>
  <c r="E23" i="14" s="1"/>
  <c r="I14" i="14"/>
  <c r="E13" i="14"/>
  <c r="F13" i="14" s="1"/>
  <c r="G13" i="14" s="1"/>
  <c r="Q13" i="14"/>
  <c r="H23" i="14"/>
  <c r="B12" i="13"/>
  <c r="J12" i="13"/>
  <c r="I4" i="13" s="1"/>
  <c r="K23" i="14" l="1"/>
  <c r="B23" i="14"/>
  <c r="K13" i="14"/>
  <c r="L13" i="14"/>
  <c r="M13" i="14" s="1"/>
  <c r="C15" i="14"/>
  <c r="D15" i="14" s="1"/>
  <c r="E14" i="14"/>
  <c r="F14" i="14" s="1"/>
  <c r="G14" i="14" s="1"/>
  <c r="Q14" i="14"/>
  <c r="J14" i="14"/>
  <c r="I15" i="14"/>
  <c r="J15" i="14" s="1"/>
  <c r="N13" i="14"/>
  <c r="O14" i="14" s="1"/>
  <c r="N25" i="14" s="1"/>
  <c r="O25" i="14" s="1"/>
  <c r="P25" i="14" s="1"/>
  <c r="P28" i="14" s="1"/>
  <c r="C17" i="13"/>
  <c r="N14" i="14" l="1"/>
  <c r="O15" i="14" s="1"/>
  <c r="N26" i="14" s="1"/>
  <c r="P29" i="14" s="1"/>
  <c r="P30" i="14" s="1"/>
  <c r="P31" i="14" s="1"/>
  <c r="K14" i="14"/>
  <c r="L14" i="14"/>
  <c r="M14" i="14" s="1"/>
  <c r="E15" i="14"/>
  <c r="Q15" i="14"/>
  <c r="N15" i="14"/>
  <c r="B24" i="14"/>
  <c r="C24" i="14" s="1"/>
  <c r="D24" i="14" s="1"/>
  <c r="E24" i="14"/>
  <c r="F24" i="14" s="1"/>
  <c r="G24" i="14" s="1"/>
  <c r="L24" i="14"/>
  <c r="M24" i="14" s="1"/>
  <c r="H24" i="14"/>
  <c r="I24" i="14" s="1"/>
  <c r="J24" i="14" s="1"/>
  <c r="K24" i="14"/>
  <c r="N22" i="13"/>
  <c r="B13" i="13"/>
  <c r="B14" i="13" s="1"/>
  <c r="B15" i="13" s="1"/>
  <c r="F15" i="14" l="1"/>
  <c r="G15" i="14" s="1"/>
  <c r="B25" i="14"/>
  <c r="C25" i="14" s="1"/>
  <c r="D25" i="14" s="1"/>
  <c r="D28" i="14" s="1"/>
  <c r="E25" i="14"/>
  <c r="F25" i="14" s="1"/>
  <c r="G25" i="14" s="1"/>
  <c r="G28" i="14" s="1"/>
  <c r="L25" i="14"/>
  <c r="M25" i="14" s="1"/>
  <c r="M28" i="14" s="1"/>
  <c r="H25" i="14"/>
  <c r="I25" i="14" s="1"/>
  <c r="J25" i="14" s="1"/>
  <c r="J28" i="14" s="1"/>
  <c r="K25" i="14"/>
  <c r="F12" i="13"/>
  <c r="G12" i="13" s="1"/>
  <c r="K12" i="13" s="1"/>
  <c r="E17" i="13"/>
  <c r="D17" i="13"/>
  <c r="C13" i="13"/>
  <c r="Q13" i="13" s="1"/>
  <c r="D29" i="14" l="1"/>
  <c r="D30" i="14" s="1"/>
  <c r="D31" i="14" s="1"/>
  <c r="L15" i="14"/>
  <c r="M15" i="14" s="1"/>
  <c r="K15" i="14"/>
  <c r="C14" i="13"/>
  <c r="Q14" i="13" s="1"/>
  <c r="D13" i="13"/>
  <c r="E13" i="13"/>
  <c r="J29" i="14" l="1"/>
  <c r="J30" i="14" s="1"/>
  <c r="J31" i="14" s="1"/>
  <c r="E26" i="14"/>
  <c r="G29" i="14" s="1"/>
  <c r="G30" i="14" s="1"/>
  <c r="G31" i="14" s="1"/>
  <c r="B26" i="14"/>
  <c r="K26" i="14"/>
  <c r="M29" i="14" s="1"/>
  <c r="M30" i="14" s="1"/>
  <c r="M31" i="14" s="1"/>
  <c r="N33" i="14" s="1"/>
  <c r="H26" i="14"/>
  <c r="F13" i="13"/>
  <c r="G13" i="13" s="1"/>
  <c r="I13" i="13" l="1"/>
  <c r="O17" i="13"/>
  <c r="I14" i="13" l="1"/>
  <c r="O13" i="13"/>
  <c r="N23" i="13" s="1"/>
  <c r="I5" i="13"/>
  <c r="I15" i="13" l="1"/>
  <c r="H13" i="13"/>
  <c r="L12" i="13"/>
  <c r="M12" i="13" s="1"/>
  <c r="C15" i="13"/>
  <c r="Q15" i="13" s="1"/>
  <c r="D14" i="13"/>
  <c r="E14" i="13"/>
  <c r="H14" i="13" l="1"/>
  <c r="J14" i="13" s="1"/>
  <c r="J13" i="13"/>
  <c r="F14" i="13"/>
  <c r="G14" i="13" s="1"/>
  <c r="K14" i="13" s="1"/>
  <c r="E22" i="13"/>
  <c r="B22" i="13"/>
  <c r="K22" i="13"/>
  <c r="H22" i="13"/>
  <c r="D15" i="13"/>
  <c r="E15" i="13"/>
  <c r="N14" i="13"/>
  <c r="O15" i="13" s="1"/>
  <c r="N25" i="13" s="1"/>
  <c r="K13" i="13"/>
  <c r="E24" i="13" l="1"/>
  <c r="K24" i="13"/>
  <c r="H24" i="13"/>
  <c r="B24" i="13"/>
  <c r="L24" i="13"/>
  <c r="F15" i="13"/>
  <c r="D28" i="13" s="1"/>
  <c r="L14" i="13"/>
  <c r="H23" i="13"/>
  <c r="B23" i="13"/>
  <c r="E23" i="13"/>
  <c r="K23" i="13"/>
  <c r="N13" i="13"/>
  <c r="O14" i="13" s="1"/>
  <c r="N24" i="13" s="1"/>
  <c r="O24" i="13" s="1"/>
  <c r="L13" i="13"/>
  <c r="G15" i="13" l="1"/>
  <c r="C24" i="13"/>
  <c r="I24" i="13" l="1"/>
  <c r="M13" i="13"/>
  <c r="F24" i="13"/>
  <c r="C23" i="13"/>
  <c r="M14" i="13"/>
  <c r="I23" i="13"/>
  <c r="J23" i="13" s="1"/>
  <c r="D29" i="13"/>
  <c r="F23" i="13"/>
  <c r="G23" i="13" s="1"/>
  <c r="G24" i="13" l="1"/>
  <c r="G27" i="13" s="1"/>
  <c r="J24" i="13"/>
  <c r="J27" i="13" s="1"/>
  <c r="H15" i="13"/>
  <c r="L23" i="13"/>
  <c r="M23" i="13" s="1"/>
  <c r="M24" i="13" s="1"/>
  <c r="M27" i="13" s="1"/>
  <c r="D23" i="13"/>
  <c r="D24" i="13" s="1"/>
  <c r="D27" i="13" s="1"/>
  <c r="K15" i="13" l="1"/>
  <c r="J15" i="13"/>
  <c r="O23" i="13"/>
  <c r="P23" i="13" s="1"/>
  <c r="P24" i="13" s="1"/>
  <c r="P27" i="13" s="1"/>
  <c r="P28" i="13"/>
  <c r="P29" i="13" s="1"/>
  <c r="H25" i="13"/>
  <c r="K25" i="13"/>
  <c r="B25" i="13"/>
  <c r="E25" i="13"/>
  <c r="G28" i="13" s="1"/>
  <c r="G29" i="13" s="1"/>
  <c r="N15" i="13" l="1"/>
  <c r="L15" i="13"/>
  <c r="J28" i="13" s="1"/>
  <c r="J29" i="13" s="1"/>
  <c r="M15" i="13"/>
  <c r="M28" i="13"/>
  <c r="M29" i="13" s="1"/>
  <c r="D30" i="13"/>
  <c r="G30" i="13"/>
  <c r="J30" i="13"/>
  <c r="P30" i="13"/>
  <c r="M30" i="13" l="1"/>
  <c r="N32" i="13" s="1"/>
</calcChain>
</file>

<file path=xl/sharedStrings.xml><?xml version="1.0" encoding="utf-8"?>
<sst xmlns="http://schemas.openxmlformats.org/spreadsheetml/2006/main" count="158" uniqueCount="68">
  <si>
    <t>Year</t>
  </si>
  <si>
    <t>Revenue</t>
  </si>
  <si>
    <t>Forecast Ratios</t>
  </si>
  <si>
    <t>Debt</t>
  </si>
  <si>
    <t>ROIC</t>
  </si>
  <si>
    <t>NOPLAT</t>
  </si>
  <si>
    <t>FCF</t>
  </si>
  <si>
    <t>WACC =</t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</si>
  <si>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</si>
  <si>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</si>
  <si>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t>APV</t>
  </si>
  <si>
    <t>EBIT</t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</si>
  <si>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</si>
  <si>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</si>
  <si>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CV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</si>
  <si>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CV(FCF)</t>
    </r>
  </si>
  <si>
    <r>
      <t>VALUE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</si>
  <si>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t>Dep</t>
  </si>
  <si>
    <t>APV Model</t>
  </si>
  <si>
    <t>Tax Shield</t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</si>
  <si>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</si>
  <si>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Total       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</si>
  <si>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</si>
  <si>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</si>
  <si>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t>Total</t>
  </si>
  <si>
    <t>NWC</t>
  </si>
  <si>
    <t>Tax Rate on EBIT</t>
  </si>
  <si>
    <t>Tax Rate on Taxable Income</t>
  </si>
  <si>
    <t>Long term g</t>
  </si>
  <si>
    <t>KVD</t>
  </si>
  <si>
    <r>
      <t>PV</t>
    </r>
    <r>
      <rPr>
        <b/>
        <vertAlign val="subscript"/>
        <sz val="11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</si>
  <si>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</si>
  <si>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rFont val="Calibri"/>
        <family val="2"/>
        <scheme val="minor"/>
      </rPr>
      <t>DCF</t>
    </r>
  </si>
  <si>
    <r>
      <t>CV</t>
    </r>
    <r>
      <rPr>
        <b/>
        <vertAlign val="subscript"/>
        <sz val="1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</si>
  <si>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</si>
  <si>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</si>
  <si>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</si>
  <si>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</si>
  <si>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DCF(TS)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</si>
  <si>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</si>
  <si>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TS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</si>
  <si>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</si>
  <si>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CV(TS)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</si>
  <si>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</si>
  <si>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</si>
  <si>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t>Sales Forecast</t>
  </si>
  <si>
    <r>
      <t xml:space="preserve">ECON </t>
    </r>
    <r>
      <rPr>
        <b/>
        <sz val="11"/>
        <color theme="1"/>
        <rFont val="Calibri"/>
        <family val="2"/>
      </rPr>
      <t>π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</si>
  <si>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</t>
    </r>
  </si>
  <si>
    <r>
      <t>CV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</si>
  <si>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</si>
  <si>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</si>
  <si>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t>FA</t>
  </si>
  <si>
    <t>Leadership Premium</t>
  </si>
  <si>
    <t>Current Year</t>
  </si>
  <si>
    <t>Industry Growth</t>
  </si>
  <si>
    <t>Expansion Plan</t>
  </si>
  <si>
    <t>New Products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</si>
  <si>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TAX</t>
    </r>
  </si>
  <si>
    <t>Forecast and Val Template - Simplified</t>
  </si>
  <si>
    <t>Target EBIT Multiple</t>
  </si>
  <si>
    <t>REV/IC</t>
  </si>
  <si>
    <t>D/IC</t>
  </si>
  <si>
    <t>Scale Assumptions</t>
  </si>
  <si>
    <t>Op Exp (w/o Dep)</t>
  </si>
  <si>
    <t>IC</t>
  </si>
  <si>
    <t>Int Exp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</si>
  <si>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U</t>
    </r>
  </si>
  <si>
    <t>FMM (EV/EBIT)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</si>
</sst>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"/>
    <numFmt numFmtId="166" formatCode="0.00000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rgb="FF7030A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vertAlign val="subscript"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bscript"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0" fillId="0" borderId="0" xfId="0" applyNumberFormat="1" applyBorder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11" fillId="0" borderId="0" xfId="0" applyFont="1" applyAlignment="1">
      <alignment horizontal="center" wrapText="1"/>
    </xf>
    <xf numFmtId="165" fontId="13" fillId="0" borderId="0" xfId="0" applyNumberFormat="1" applyFont="1"/>
    <xf numFmtId="0" fontId="13" fillId="0" borderId="0" xfId="0" applyFont="1"/>
    <xf numFmtId="165" fontId="0" fillId="0" borderId="0" xfId="0" applyNumberFormat="1"/>
    <xf numFmtId="0" fontId="9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4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165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 wrapText="1"/>
    </xf>
    <xf numFmtId="165" fontId="19" fillId="0" borderId="0" xfId="0" applyNumberFormat="1" applyFont="1" applyAlignment="1">
      <alignment horizontal="center"/>
    </xf>
    <xf numFmtId="0" fontId="19" fillId="0" borderId="0" xfId="0" applyFont="1"/>
    <xf numFmtId="10" fontId="0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8" fillId="0" borderId="0" xfId="0" applyNumberFormat="1" applyFont="1"/>
    <xf numFmtId="165" fontId="4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65" fontId="19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/>
    <xf numFmtId="0" fontId="0" fillId="0" borderId="0" xfId="0" applyAlignment="1">
      <alignment horizontal="right"/>
    </xf>
    <xf numFmtId="165" fontId="2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textRotation="180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0" fontId="0" fillId="0" borderId="0" xfId="0" applyNumberFormat="1" applyAlignment="1">
      <alignment horizontal="center" vertical="top"/>
    </xf>
    <xf numFmtId="43" fontId="0" fillId="0" borderId="0" xfId="1" applyFont="1" applyAlignment="1">
      <alignment horizontal="center" vertical="top"/>
    </xf>
    <xf numFmtId="43" fontId="0" fillId="0" borderId="0" xfId="1" applyFont="1" applyAlignment="1">
      <alignment horizontal="center"/>
    </xf>
    <xf numFmtId="0" fontId="0" fillId="2" borderId="0" xfId="0" applyFill="1"/>
    <xf numFmtId="10" fontId="0" fillId="2" borderId="0" xfId="2" applyNumberFormat="1" applyFont="1" applyFill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Fill="1"/>
    <xf numFmtId="43" fontId="21" fillId="2" borderId="0" xfId="1" applyFont="1" applyFill="1" applyAlignment="1">
      <alignment horizontal="center" wrapText="1"/>
    </xf>
    <xf numFmtId="43" fontId="1" fillId="2" borderId="0" xfId="1" applyFont="1" applyFill="1" applyAlignment="1">
      <alignment horizontal="center" wrapText="1"/>
    </xf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2" applyNumberFormat="1" applyFont="1" applyFill="1" applyAlignment="1">
      <alignment horizontal="right"/>
    </xf>
    <xf numFmtId="43" fontId="0" fillId="2" borderId="0" xfId="1" applyFont="1" applyFill="1" applyAlignment="1">
      <alignment horizontal="center" vertical="top"/>
    </xf>
    <xf numFmtId="43" fontId="0" fillId="2" borderId="0" xfId="1" applyFont="1" applyFill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textRotation="180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0" fontId="0" fillId="0" borderId="0" xfId="2" applyNumberFormat="1" applyFont="1" applyFill="1"/>
    <xf numFmtId="0" fontId="2" fillId="0" borderId="0" xfId="0" applyFont="1" applyFill="1" applyAlignment="1">
      <alignment horizontal="right"/>
    </xf>
    <xf numFmtId="43" fontId="0" fillId="0" borderId="0" xfId="1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167" fontId="0" fillId="0" borderId="0" xfId="2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center" vertical="top"/>
    </xf>
    <xf numFmtId="43" fontId="0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zoomScaleNormal="100" workbookViewId="0">
      <selection activeCell="L24" sqref="L24"/>
    </sheetView>
  </sheetViews>
  <sheetFormatPr defaultRowHeight="15" x14ac:dyDescent="0.25"/>
  <cols>
    <col min="2" max="4" width="10.7109375" customWidth="1"/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8" x14ac:dyDescent="0.25">
      <c r="A3" s="22"/>
      <c r="B3" s="22"/>
      <c r="C3" s="32" t="s">
        <v>53</v>
      </c>
      <c r="D3" s="71">
        <v>2019</v>
      </c>
      <c r="F3" s="22">
        <f>D3-1</f>
        <v>2018</v>
      </c>
      <c r="H3" s="87" t="s">
        <v>62</v>
      </c>
      <c r="I3" s="87"/>
      <c r="J3" s="77"/>
    </row>
    <row r="4" spans="1:28" x14ac:dyDescent="0.25">
      <c r="A4" s="85" t="s">
        <v>28</v>
      </c>
      <c r="B4" s="86"/>
      <c r="C4" s="86"/>
      <c r="D4" s="80">
        <v>0.03</v>
      </c>
      <c r="E4" s="32" t="s">
        <v>3</v>
      </c>
      <c r="F4" s="71">
        <v>20</v>
      </c>
      <c r="G4" s="23"/>
      <c r="H4" s="22" t="s">
        <v>60</v>
      </c>
      <c r="I4" s="31">
        <f>J12/C12</f>
        <v>0.4</v>
      </c>
      <c r="J4" s="74"/>
      <c r="M4" s="56"/>
      <c r="N4" s="87" t="s">
        <v>45</v>
      </c>
      <c r="O4" s="87"/>
      <c r="P4" s="56"/>
      <c r="Q4" s="33"/>
      <c r="T4" s="56"/>
      <c r="U4" s="56"/>
      <c r="V4" s="56"/>
      <c r="W4" s="56"/>
    </row>
    <row r="5" spans="1:28" x14ac:dyDescent="0.25">
      <c r="A5" s="86"/>
      <c r="B5" s="86"/>
      <c r="C5" s="86"/>
      <c r="D5" s="81"/>
      <c r="E5" s="32" t="s">
        <v>25</v>
      </c>
      <c r="F5" s="78">
        <v>9.5</v>
      </c>
      <c r="H5" s="22" t="s">
        <v>61</v>
      </c>
      <c r="I5" s="31">
        <f>N12/J12</f>
        <v>0.5</v>
      </c>
      <c r="J5" s="74"/>
      <c r="M5" s="33"/>
      <c r="N5" s="32" t="s">
        <v>54</v>
      </c>
      <c r="O5" s="72">
        <v>0.05</v>
      </c>
      <c r="P5" s="33"/>
      <c r="Q5" s="33"/>
      <c r="T5" s="9"/>
      <c r="U5" s="9"/>
      <c r="V5" s="9"/>
      <c r="W5" s="9"/>
    </row>
    <row r="6" spans="1:28" x14ac:dyDescent="0.25">
      <c r="A6" s="86" t="s">
        <v>26</v>
      </c>
      <c r="B6" s="86"/>
      <c r="C6" s="86"/>
      <c r="D6" s="80">
        <v>0.26</v>
      </c>
      <c r="E6" s="32" t="s">
        <v>51</v>
      </c>
      <c r="F6" s="79">
        <v>31</v>
      </c>
      <c r="M6" s="56"/>
      <c r="N6" s="32" t="s">
        <v>55</v>
      </c>
      <c r="O6" s="72">
        <v>0.02</v>
      </c>
      <c r="P6" s="33"/>
      <c r="Q6" s="33"/>
      <c r="T6" s="33"/>
      <c r="U6" s="33"/>
      <c r="V6" s="33"/>
      <c r="W6" s="33"/>
    </row>
    <row r="7" spans="1:28" ht="18" x14ac:dyDescent="0.35">
      <c r="A7" s="86" t="s">
        <v>27</v>
      </c>
      <c r="B7" s="86"/>
      <c r="C7" s="86"/>
      <c r="D7" s="81">
        <v>0.26</v>
      </c>
      <c r="E7" s="32" t="s">
        <v>66</v>
      </c>
      <c r="F7" s="80">
        <v>0.10249999999999999</v>
      </c>
      <c r="M7" s="33"/>
      <c r="N7" s="76" t="s">
        <v>56</v>
      </c>
      <c r="O7" s="72">
        <v>0.02</v>
      </c>
      <c r="P7" s="33"/>
      <c r="Q7" s="33"/>
      <c r="T7" s="33"/>
      <c r="U7" s="33"/>
      <c r="V7" s="33"/>
      <c r="W7" s="33"/>
    </row>
    <row r="8" spans="1:28" ht="18" x14ac:dyDescent="0.35">
      <c r="A8" s="86" t="s">
        <v>7</v>
      </c>
      <c r="B8" s="86"/>
      <c r="C8" s="86"/>
      <c r="D8" s="82">
        <v>0.1</v>
      </c>
      <c r="E8" s="32" t="s">
        <v>57</v>
      </c>
      <c r="F8" s="80">
        <v>0.08</v>
      </c>
      <c r="M8" s="9"/>
      <c r="N8" s="32" t="s">
        <v>52</v>
      </c>
      <c r="O8" s="73">
        <v>0.01</v>
      </c>
      <c r="P8" s="56"/>
      <c r="Q8" s="56"/>
      <c r="T8" s="56"/>
      <c r="U8" s="56"/>
      <c r="V8" s="56"/>
      <c r="W8" s="56"/>
    </row>
    <row r="9" spans="1:28" x14ac:dyDescent="0.25">
      <c r="A9" s="57"/>
      <c r="B9" s="57"/>
      <c r="C9" s="32" t="s">
        <v>59</v>
      </c>
      <c r="D9" s="84">
        <v>10.1</v>
      </c>
      <c r="N9" s="32" t="s">
        <v>24</v>
      </c>
      <c r="O9" s="41">
        <f>SUM(O5:O8)</f>
        <v>0.1</v>
      </c>
      <c r="P9" s="8"/>
      <c r="Q9" s="9"/>
      <c r="R9" s="9"/>
      <c r="S9" s="9"/>
      <c r="T9" s="9"/>
      <c r="U9" s="9"/>
      <c r="V9" s="9"/>
      <c r="W9" s="9"/>
    </row>
    <row r="10" spans="1:28" x14ac:dyDescent="0.25">
      <c r="A10" s="62"/>
      <c r="B10" s="62"/>
      <c r="C10" s="62"/>
      <c r="N10" s="32"/>
      <c r="O10" s="41"/>
      <c r="P10" s="8"/>
      <c r="Q10" s="9"/>
      <c r="R10" s="9"/>
      <c r="S10" s="9"/>
      <c r="T10" s="9"/>
      <c r="U10" s="9"/>
      <c r="V10" s="9"/>
      <c r="W10" s="9"/>
    </row>
    <row r="11" spans="1:28" ht="30" x14ac:dyDescent="0.25">
      <c r="B11" s="2" t="s">
        <v>0</v>
      </c>
      <c r="C11" s="2" t="s">
        <v>1</v>
      </c>
      <c r="D11" s="2" t="s">
        <v>63</v>
      </c>
      <c r="E11" s="2" t="s">
        <v>17</v>
      </c>
      <c r="F11" s="2" t="s">
        <v>11</v>
      </c>
      <c r="G11" s="2" t="s">
        <v>5</v>
      </c>
      <c r="H11" s="15" t="s">
        <v>25</v>
      </c>
      <c r="I11" s="3" t="s">
        <v>51</v>
      </c>
      <c r="J11" s="2" t="s">
        <v>64</v>
      </c>
      <c r="K11" s="2" t="s">
        <v>6</v>
      </c>
      <c r="L11" s="2" t="s">
        <v>4</v>
      </c>
      <c r="M11" s="2" t="s">
        <v>46</v>
      </c>
      <c r="N11" s="2" t="s">
        <v>3</v>
      </c>
      <c r="O11" s="2" t="s">
        <v>65</v>
      </c>
      <c r="Q11" s="2" t="s">
        <v>64</v>
      </c>
      <c r="X11" s="5"/>
    </row>
    <row r="12" spans="1:28" x14ac:dyDescent="0.25">
      <c r="A12">
        <v>0</v>
      </c>
      <c r="B12" s="1">
        <f>D3</f>
        <v>2019</v>
      </c>
      <c r="C12" s="83">
        <v>100</v>
      </c>
      <c r="D12" s="83">
        <v>60</v>
      </c>
      <c r="E12" s="83">
        <v>5</v>
      </c>
      <c r="F12" s="70">
        <f t="shared" ref="F12:F15" si="0">C12-D12-E12</f>
        <v>35</v>
      </c>
      <c r="G12" s="69">
        <f>F12*(1-$D$6)</f>
        <v>25.9</v>
      </c>
      <c r="H12" s="83">
        <v>10</v>
      </c>
      <c r="I12" s="83">
        <v>30</v>
      </c>
      <c r="J12" s="69">
        <f>I12+H12</f>
        <v>40</v>
      </c>
      <c r="K12" s="69">
        <f>G12+E12-(H12-F5)-(I12-F6+E12)</f>
        <v>26.4</v>
      </c>
      <c r="L12" s="68">
        <f>G12/J12</f>
        <v>0.64749999999999996</v>
      </c>
      <c r="M12" s="70">
        <f>J12*(L12-$D$8)</f>
        <v>21.9</v>
      </c>
      <c r="N12" s="69">
        <v>20</v>
      </c>
      <c r="O12" s="69">
        <v>2.2000000000000002</v>
      </c>
      <c r="V12" s="17"/>
      <c r="W12" s="17"/>
      <c r="X12" s="11"/>
      <c r="Y12" s="16"/>
      <c r="Z12" s="16"/>
    </row>
    <row r="13" spans="1:28" x14ac:dyDescent="0.25">
      <c r="A13">
        <f>A12+1</f>
        <v>1</v>
      </c>
      <c r="B13" s="1">
        <f>B12+1</f>
        <v>2020</v>
      </c>
      <c r="C13" s="69">
        <f>C12*(1+$C$17)</f>
        <v>110.00000000000001</v>
      </c>
      <c r="D13" s="69">
        <f t="shared" ref="D13:E15" si="1">D$17*$C13</f>
        <v>66</v>
      </c>
      <c r="E13" s="69">
        <f t="shared" si="1"/>
        <v>5.5000000000000009</v>
      </c>
      <c r="F13" s="70">
        <f t="shared" si="0"/>
        <v>38.500000000000014</v>
      </c>
      <c r="G13" s="69">
        <f>F13*(1-$D$6)</f>
        <v>28.490000000000009</v>
      </c>
      <c r="H13" s="69">
        <f>H12*(1+$C$17)</f>
        <v>11</v>
      </c>
      <c r="I13" s="69">
        <f>I12*(1+$C$17)</f>
        <v>33</v>
      </c>
      <c r="J13" s="69">
        <f t="shared" ref="J13:J15" si="2">I13+H13</f>
        <v>44</v>
      </c>
      <c r="K13" s="69">
        <f>G13+E13-(H13-H12)-(I13-I12+E13)</f>
        <v>24.490000000000009</v>
      </c>
      <c r="L13" s="68">
        <f>G13/J13</f>
        <v>0.64750000000000019</v>
      </c>
      <c r="M13" s="70">
        <f>J13*(L13-$D$8)</f>
        <v>24.090000000000011</v>
      </c>
      <c r="N13" s="69">
        <f>J13*$I$5</f>
        <v>22</v>
      </c>
      <c r="O13" s="69">
        <f>O$17*N12</f>
        <v>2.2000000000000002</v>
      </c>
      <c r="Q13" s="30">
        <f>$I$4*C13</f>
        <v>44.000000000000007</v>
      </c>
      <c r="X13" s="88"/>
      <c r="Z13" s="27"/>
      <c r="AB13" s="27"/>
    </row>
    <row r="14" spans="1:28" x14ac:dyDescent="0.25">
      <c r="A14">
        <f>A13+1</f>
        <v>2</v>
      </c>
      <c r="B14" s="1">
        <f t="shared" ref="B14:B15" si="3">B13+1</f>
        <v>2021</v>
      </c>
      <c r="C14" s="69">
        <f>C13*(1+$C$17)</f>
        <v>121.00000000000003</v>
      </c>
      <c r="D14" s="69">
        <f t="shared" si="1"/>
        <v>72.600000000000009</v>
      </c>
      <c r="E14" s="69">
        <f t="shared" si="1"/>
        <v>6.0500000000000016</v>
      </c>
      <c r="F14" s="70">
        <f t="shared" si="0"/>
        <v>42.350000000000016</v>
      </c>
      <c r="G14" s="69">
        <f>F14*(1-$D$6)</f>
        <v>31.339000000000013</v>
      </c>
      <c r="H14" s="69">
        <f>H13*(1+$C$17)</f>
        <v>12.100000000000001</v>
      </c>
      <c r="I14" s="69">
        <f>I13*(1+$C$17)</f>
        <v>36.300000000000004</v>
      </c>
      <c r="J14" s="69">
        <f t="shared" si="2"/>
        <v>48.400000000000006</v>
      </c>
      <c r="K14" s="69">
        <f>G14+E14-(H14-H13)-(I14-I13+E14)</f>
        <v>26.939000000000011</v>
      </c>
      <c r="L14" s="68">
        <f>G14/J14</f>
        <v>0.64750000000000019</v>
      </c>
      <c r="M14" s="70">
        <f>J14*(L14-$D$8)</f>
        <v>26.499000000000013</v>
      </c>
      <c r="N14" s="69">
        <f>J14*$I$5</f>
        <v>24.200000000000003</v>
      </c>
      <c r="O14" s="69">
        <f>O$17*N13</f>
        <v>2.4200000000000004</v>
      </c>
      <c r="Q14" s="30">
        <f t="shared" ref="Q14:Q15" si="4">$I$4*C14</f>
        <v>48.400000000000013</v>
      </c>
      <c r="X14" s="88"/>
      <c r="Z14" s="27"/>
      <c r="AB14" s="27"/>
    </row>
    <row r="15" spans="1:28" x14ac:dyDescent="0.25">
      <c r="B15" s="1">
        <f t="shared" si="3"/>
        <v>2022</v>
      </c>
      <c r="C15" s="69">
        <f>C14*(1+$D$4)</f>
        <v>124.63000000000004</v>
      </c>
      <c r="D15" s="69">
        <f t="shared" si="1"/>
        <v>74.77800000000002</v>
      </c>
      <c r="E15" s="69">
        <f t="shared" si="1"/>
        <v>6.2315000000000023</v>
      </c>
      <c r="F15" s="70">
        <f t="shared" si="0"/>
        <v>43.620500000000014</v>
      </c>
      <c r="G15" s="69">
        <f>F15*(1-$D$6)</f>
        <v>32.279170000000008</v>
      </c>
      <c r="H15" s="69">
        <f>H14*(1+$D$4)</f>
        <v>12.463000000000001</v>
      </c>
      <c r="I15" s="69">
        <f>I14*(1+$D$4)</f>
        <v>37.389000000000003</v>
      </c>
      <c r="J15" s="69">
        <f t="shared" si="2"/>
        <v>49.852000000000004</v>
      </c>
      <c r="K15" s="69">
        <f>G15+E15-(H15-H14)-(I15-I14+E15)</f>
        <v>30.82717000000001</v>
      </c>
      <c r="L15" s="68">
        <f>G15/J15</f>
        <v>0.64750000000000008</v>
      </c>
      <c r="M15" s="70">
        <f>J15*(L15-$D$8)</f>
        <v>27.293970000000009</v>
      </c>
      <c r="N15" s="69">
        <f>J15*$I$5</f>
        <v>24.926000000000002</v>
      </c>
      <c r="O15" s="69">
        <f>O$17*N14</f>
        <v>2.6620000000000008</v>
      </c>
      <c r="Q15" s="30">
        <f t="shared" si="4"/>
        <v>49.852000000000018</v>
      </c>
      <c r="V15" s="18"/>
      <c r="W15" s="18"/>
      <c r="X15" s="88"/>
      <c r="Z15" s="27"/>
      <c r="AB15" s="27"/>
    </row>
    <row r="16" spans="1:28" x14ac:dyDescent="0.25">
      <c r="B16" s="1"/>
      <c r="C16" s="6"/>
      <c r="D16" s="6"/>
      <c r="E16" s="6"/>
      <c r="F16" s="10"/>
      <c r="M16" s="6"/>
      <c r="N16" s="6"/>
      <c r="O16" s="6"/>
      <c r="Q16" s="6"/>
      <c r="R16" s="6"/>
      <c r="S16" s="7"/>
      <c r="T16" s="9"/>
      <c r="V16" s="18"/>
      <c r="W16" s="18"/>
      <c r="X16" s="60"/>
      <c r="Z16" s="27"/>
      <c r="AB16" s="27"/>
    </row>
    <row r="17" spans="1:27" x14ac:dyDescent="0.25">
      <c r="A17" s="87" t="s">
        <v>2</v>
      </c>
      <c r="B17" s="87"/>
      <c r="C17" s="55">
        <f>O9</f>
        <v>0.1</v>
      </c>
      <c r="D17" s="55">
        <f>D12/$C$12</f>
        <v>0.6</v>
      </c>
      <c r="E17" s="55">
        <f>E12/$C$12</f>
        <v>0.05</v>
      </c>
      <c r="F17" s="40"/>
      <c r="M17" s="6"/>
      <c r="N17" s="6"/>
      <c r="O17" s="55">
        <f>O12/$F$4</f>
        <v>0.11000000000000001</v>
      </c>
      <c r="Q17" s="6"/>
      <c r="R17" s="6"/>
      <c r="S17" s="6"/>
      <c r="T17" s="6"/>
      <c r="U17" s="19"/>
      <c r="V17" s="19"/>
      <c r="W17" s="19"/>
      <c r="X17" s="12"/>
    </row>
    <row r="18" spans="1:27" x14ac:dyDescent="0.25">
      <c r="A18" s="33"/>
      <c r="B18" s="33"/>
      <c r="C18" s="55"/>
      <c r="D18" s="55"/>
      <c r="E18" s="55"/>
      <c r="F18" s="40"/>
      <c r="M18" s="6"/>
      <c r="N18" s="6"/>
      <c r="O18" s="55"/>
      <c r="Q18" s="6"/>
      <c r="R18" s="6"/>
      <c r="S18" s="6"/>
      <c r="T18" s="6"/>
      <c r="U18" s="19"/>
      <c r="V18" s="19"/>
      <c r="W18" s="19"/>
      <c r="X18" s="12"/>
    </row>
    <row r="19" spans="1:27" x14ac:dyDescent="0.25">
      <c r="K19" s="93" t="s">
        <v>18</v>
      </c>
      <c r="L19" s="93"/>
      <c r="M19" s="93"/>
      <c r="N19" s="93"/>
      <c r="O19" s="93"/>
      <c r="P19" s="93"/>
      <c r="Q19" s="61"/>
      <c r="R19" s="58"/>
      <c r="S19" s="58"/>
      <c r="X19" s="33"/>
    </row>
    <row r="20" spans="1:27" ht="18" x14ac:dyDescent="0.35">
      <c r="B20" s="89" t="s">
        <v>67</v>
      </c>
      <c r="C20" s="89"/>
      <c r="D20" s="89"/>
      <c r="E20" s="90" t="s">
        <v>6</v>
      </c>
      <c r="F20" s="90"/>
      <c r="G20" s="90"/>
      <c r="H20" s="91" t="s">
        <v>29</v>
      </c>
      <c r="I20" s="91"/>
      <c r="J20" s="91"/>
      <c r="K20" s="92" t="s">
        <v>8</v>
      </c>
      <c r="L20" s="92"/>
      <c r="M20" s="92"/>
      <c r="N20" s="92" t="s">
        <v>9</v>
      </c>
      <c r="O20" s="92"/>
      <c r="P20" s="92"/>
      <c r="X20" s="13"/>
      <c r="Y20" s="59"/>
      <c r="Z20" s="59"/>
      <c r="AA20" s="59"/>
    </row>
    <row r="21" spans="1:27" ht="33" x14ac:dyDescent="0.35">
      <c r="B21" s="37" t="s">
        <v>6</v>
      </c>
      <c r="C21" s="37" t="s">
        <v>36</v>
      </c>
      <c r="D21" s="37" t="s">
        <v>37</v>
      </c>
      <c r="E21" s="24" t="s">
        <v>6</v>
      </c>
      <c r="F21" s="24" t="s">
        <v>12</v>
      </c>
      <c r="G21" s="24" t="s">
        <v>13</v>
      </c>
      <c r="H21" s="34" t="s">
        <v>6</v>
      </c>
      <c r="I21" s="34" t="s">
        <v>30</v>
      </c>
      <c r="J21" s="34" t="s">
        <v>31</v>
      </c>
      <c r="K21" s="28" t="s">
        <v>6</v>
      </c>
      <c r="L21" s="28" t="s">
        <v>22</v>
      </c>
      <c r="M21" s="28" t="s">
        <v>23</v>
      </c>
      <c r="N21" s="28" t="s">
        <v>19</v>
      </c>
      <c r="O21" s="28" t="s">
        <v>20</v>
      </c>
      <c r="P21" s="28" t="s">
        <v>21</v>
      </c>
      <c r="X21" s="14"/>
      <c r="Z21" s="18"/>
      <c r="AA21" s="18"/>
    </row>
    <row r="22" spans="1:27" x14ac:dyDescent="0.25">
      <c r="A22">
        <f>A12</f>
        <v>0</v>
      </c>
      <c r="B22" s="38">
        <f>K12</f>
        <v>26.4</v>
      </c>
      <c r="C22" s="51"/>
      <c r="D22" s="51"/>
      <c r="E22" s="25">
        <f>K12</f>
        <v>26.4</v>
      </c>
      <c r="F22" s="25"/>
      <c r="G22" s="25"/>
      <c r="H22" s="35">
        <f>K12</f>
        <v>26.4</v>
      </c>
      <c r="I22" s="35"/>
      <c r="J22" s="35"/>
      <c r="K22" s="29">
        <f>K12</f>
        <v>26.4</v>
      </c>
      <c r="L22" s="43"/>
      <c r="M22" s="43"/>
      <c r="N22" s="29">
        <f>O12*$D$7</f>
        <v>0.57200000000000006</v>
      </c>
      <c r="O22" s="43"/>
      <c r="P22" s="43"/>
      <c r="X22" s="4"/>
      <c r="Z22" s="18"/>
      <c r="AA22" s="18"/>
    </row>
    <row r="23" spans="1:27" x14ac:dyDescent="0.25">
      <c r="A23">
        <f>A13</f>
        <v>1</v>
      </c>
      <c r="B23" s="38">
        <f>K13</f>
        <v>24.490000000000009</v>
      </c>
      <c r="C23" s="38">
        <f>B23/((1+$D$8)^A13)</f>
        <v>22.263636363636369</v>
      </c>
      <c r="D23" s="38">
        <f>C23</f>
        <v>22.263636363636369</v>
      </c>
      <c r="E23" s="25">
        <f>K13</f>
        <v>24.490000000000009</v>
      </c>
      <c r="F23" s="25">
        <f>E23/((1+$D$8)^$A23)</f>
        <v>22.263636363636369</v>
      </c>
      <c r="G23" s="25">
        <f>F23</f>
        <v>22.263636363636369</v>
      </c>
      <c r="H23" s="35">
        <f>K13</f>
        <v>24.490000000000009</v>
      </c>
      <c r="I23" s="35">
        <f>H23/((1+$D$8)^$A23)</f>
        <v>22.263636363636369</v>
      </c>
      <c r="J23" s="35">
        <f>I23</f>
        <v>22.263636363636369</v>
      </c>
      <c r="K23" s="29">
        <f>K13</f>
        <v>24.490000000000009</v>
      </c>
      <c r="L23" s="29">
        <f>K13/((1+$F$7)^A13)</f>
        <v>22.21315192743765</v>
      </c>
      <c r="M23" s="29">
        <f>L23</f>
        <v>22.21315192743765</v>
      </c>
      <c r="N23" s="29">
        <f>O13*$D$7</f>
        <v>0.57200000000000006</v>
      </c>
      <c r="O23" s="29">
        <f>N23/((1+$F$8)^A13)</f>
        <v>0.52962962962962967</v>
      </c>
      <c r="P23" s="29">
        <f>O23</f>
        <v>0.52962962962962967</v>
      </c>
      <c r="Z23" s="18"/>
      <c r="AA23" s="18"/>
    </row>
    <row r="24" spans="1:27" x14ac:dyDescent="0.25">
      <c r="A24">
        <f>A14</f>
        <v>2</v>
      </c>
      <c r="B24" s="38">
        <f>K14</f>
        <v>26.939000000000011</v>
      </c>
      <c r="C24" s="38">
        <f>B24/((1+$D$8)^A14)</f>
        <v>22.263636363636369</v>
      </c>
      <c r="D24" s="38">
        <f>D23+C24</f>
        <v>44.527272727272738</v>
      </c>
      <c r="E24" s="25">
        <f>K14</f>
        <v>26.939000000000011</v>
      </c>
      <c r="F24" s="25">
        <f>E24/((1+$D$8)^A24)</f>
        <v>22.263636363636369</v>
      </c>
      <c r="G24" s="63">
        <f>G23+F24</f>
        <v>44.527272727272738</v>
      </c>
      <c r="H24" s="35">
        <f>K14</f>
        <v>26.939000000000011</v>
      </c>
      <c r="I24" s="35">
        <f>H24/((1+$D$8)^$A24)</f>
        <v>22.263636363636369</v>
      </c>
      <c r="J24" s="35">
        <f>J23+I24</f>
        <v>44.527272727272738</v>
      </c>
      <c r="K24" s="29">
        <f>K14</f>
        <v>26.939000000000011</v>
      </c>
      <c r="L24" s="29">
        <f>K14/((1+$F$7)^A14)</f>
        <v>22.162781968418518</v>
      </c>
      <c r="M24" s="29">
        <f>M23+L24</f>
        <v>44.375933895856164</v>
      </c>
      <c r="N24" s="29">
        <f>O14*$D$7</f>
        <v>0.62920000000000009</v>
      </c>
      <c r="O24" s="29">
        <f>N24/((1+$F$8)^A14)</f>
        <v>0.53943758573388201</v>
      </c>
      <c r="P24" s="29">
        <f>P23+O24</f>
        <v>1.0690672153635117</v>
      </c>
    </row>
    <row r="25" spans="1:27" x14ac:dyDescent="0.25">
      <c r="B25" s="38">
        <f>K15</f>
        <v>30.82717000000001</v>
      </c>
      <c r="C25" s="51"/>
      <c r="D25" s="51"/>
      <c r="E25" s="25">
        <f>K15</f>
        <v>30.82717000000001</v>
      </c>
      <c r="F25" s="25"/>
      <c r="G25" s="25"/>
      <c r="H25" s="35">
        <f>K15</f>
        <v>30.82717000000001</v>
      </c>
      <c r="I25" s="35"/>
      <c r="J25" s="35"/>
      <c r="K25" s="29">
        <f>K15</f>
        <v>30.82717000000001</v>
      </c>
      <c r="L25" s="43"/>
      <c r="M25" s="43"/>
      <c r="N25" s="29">
        <f>O15*$D$7</f>
        <v>0.69212000000000018</v>
      </c>
      <c r="O25" s="43"/>
      <c r="P25" s="43"/>
    </row>
    <row r="26" spans="1:27" x14ac:dyDescent="0.25">
      <c r="B26" s="39"/>
      <c r="C26" s="39"/>
      <c r="D26" s="39"/>
      <c r="E26" s="26"/>
      <c r="F26" s="26"/>
      <c r="G26" s="26"/>
      <c r="H26" s="36"/>
      <c r="I26" s="36"/>
      <c r="J26" s="36"/>
      <c r="K26" s="20"/>
      <c r="L26" s="20"/>
      <c r="M26" s="20"/>
      <c r="N26" s="20"/>
      <c r="O26" s="20"/>
      <c r="P26" s="20"/>
    </row>
    <row r="27" spans="1:27" ht="18" x14ac:dyDescent="0.35">
      <c r="B27" s="52"/>
      <c r="C27" s="53" t="s">
        <v>47</v>
      </c>
      <c r="D27" s="52">
        <f>D24</f>
        <v>44.527272727272738</v>
      </c>
      <c r="E27" s="45"/>
      <c r="F27" s="46" t="s">
        <v>12</v>
      </c>
      <c r="G27" s="45">
        <f>G24</f>
        <v>44.527272727272738</v>
      </c>
      <c r="H27" s="42"/>
      <c r="I27" s="47" t="s">
        <v>32</v>
      </c>
      <c r="J27" s="42">
        <f>J24</f>
        <v>44.527272727272738</v>
      </c>
      <c r="K27" s="48"/>
      <c r="L27" s="49" t="s">
        <v>22</v>
      </c>
      <c r="M27" s="48">
        <f>M24</f>
        <v>44.375933895856164</v>
      </c>
      <c r="N27" s="48"/>
      <c r="O27" s="49" t="s">
        <v>38</v>
      </c>
      <c r="P27" s="48">
        <f>P24</f>
        <v>1.0690672153635117</v>
      </c>
    </row>
    <row r="28" spans="1:27" ht="18" x14ac:dyDescent="0.35">
      <c r="B28" s="52"/>
      <c r="C28" s="53" t="s">
        <v>48</v>
      </c>
      <c r="D28" s="54">
        <f>F15*D9</f>
        <v>440.56705000000011</v>
      </c>
      <c r="E28" s="45"/>
      <c r="F28" s="46" t="s">
        <v>14</v>
      </c>
      <c r="G28" s="45">
        <f>(E25)/(D8-D4)</f>
        <v>440.38814285714295</v>
      </c>
      <c r="H28" s="42"/>
      <c r="I28" s="47" t="s">
        <v>33</v>
      </c>
      <c r="J28" s="42">
        <f>(G15*(1-(D4/L15)))/(D8-D4)</f>
        <v>439.76585714285721</v>
      </c>
      <c r="K28" s="48"/>
      <c r="L28" s="49" t="s">
        <v>39</v>
      </c>
      <c r="M28" s="48">
        <f>(K25)/(F7-D4)</f>
        <v>425.20234482758639</v>
      </c>
      <c r="N28" s="48"/>
      <c r="O28" s="49" t="s">
        <v>40</v>
      </c>
      <c r="P28" s="48">
        <f>(N25)/(F8-D4)</f>
        <v>13.842400000000003</v>
      </c>
    </row>
    <row r="29" spans="1:27" ht="18" x14ac:dyDescent="0.35">
      <c r="B29" s="52"/>
      <c r="C29" s="53" t="s">
        <v>49</v>
      </c>
      <c r="D29" s="52">
        <f>D28/((1+D8)^A14)</f>
        <v>364.10500000000002</v>
      </c>
      <c r="E29" s="45"/>
      <c r="F29" s="46" t="s">
        <v>15</v>
      </c>
      <c r="G29" s="45">
        <f>G28/((1+D8)^A14)</f>
        <v>363.95714285714286</v>
      </c>
      <c r="H29" s="42"/>
      <c r="I29" s="47" t="s">
        <v>34</v>
      </c>
      <c r="J29" s="42">
        <f>J28/((1+D8)^A14)</f>
        <v>363.44285714285712</v>
      </c>
      <c r="K29" s="48"/>
      <c r="L29" s="49" t="s">
        <v>41</v>
      </c>
      <c r="M29" s="48">
        <f>M28/((1+F7)^A14)</f>
        <v>349.81502137696651</v>
      </c>
      <c r="N29" s="48"/>
      <c r="O29" s="49" t="s">
        <v>42</v>
      </c>
      <c r="P29" s="48">
        <f>P28/((1+F8)^A14)</f>
        <v>11.867626886145406</v>
      </c>
    </row>
    <row r="30" spans="1:27" ht="18" x14ac:dyDescent="0.35">
      <c r="B30" s="52"/>
      <c r="C30" s="53" t="s">
        <v>50</v>
      </c>
      <c r="D30" s="52">
        <f>D27+D29</f>
        <v>408.63227272727278</v>
      </c>
      <c r="E30" s="45"/>
      <c r="F30" s="46" t="s">
        <v>16</v>
      </c>
      <c r="G30" s="45">
        <f>G27+G29</f>
        <v>408.48441558441561</v>
      </c>
      <c r="H30" s="42"/>
      <c r="I30" s="47" t="s">
        <v>35</v>
      </c>
      <c r="J30" s="42">
        <f>J29+J27</f>
        <v>407.97012987012988</v>
      </c>
      <c r="K30" s="48"/>
      <c r="L30" s="49" t="s">
        <v>43</v>
      </c>
      <c r="M30" s="48">
        <f>M27+M29</f>
        <v>394.19095527282269</v>
      </c>
      <c r="N30" s="48"/>
      <c r="O30" s="49" t="s">
        <v>44</v>
      </c>
      <c r="P30" s="48">
        <f>P27+P29</f>
        <v>12.936694101508918</v>
      </c>
    </row>
    <row r="31" spans="1:27" x14ac:dyDescent="0.25">
      <c r="D31" s="21"/>
      <c r="E31" s="44"/>
      <c r="F31" s="50"/>
      <c r="G31" s="50"/>
      <c r="H31" s="50"/>
      <c r="I31" s="50"/>
      <c r="J31" s="50"/>
      <c r="K31" s="50"/>
      <c r="L31" s="48"/>
      <c r="M31" s="48"/>
      <c r="N31" s="48"/>
      <c r="O31" s="48"/>
      <c r="P31" s="48"/>
      <c r="Q31" s="48"/>
      <c r="R31" s="50"/>
      <c r="S31" s="50"/>
      <c r="T31" s="50"/>
    </row>
    <row r="32" spans="1:27" x14ac:dyDescent="0.25">
      <c r="E32" s="50"/>
      <c r="F32" s="50"/>
      <c r="G32" s="50"/>
      <c r="H32" s="50"/>
      <c r="I32" s="50"/>
      <c r="J32" s="50"/>
      <c r="K32" s="50"/>
      <c r="L32" s="48"/>
      <c r="M32" s="49" t="s">
        <v>10</v>
      </c>
      <c r="N32" s="48">
        <f>M30+P30</f>
        <v>407.12764937433161</v>
      </c>
      <c r="P32" s="48"/>
      <c r="Q32" s="48"/>
      <c r="R32" s="50"/>
      <c r="S32" s="50"/>
      <c r="T32" s="50"/>
    </row>
    <row r="35" spans="8:8" x14ac:dyDescent="0.25">
      <c r="H35" s="13"/>
    </row>
    <row r="36" spans="8:8" x14ac:dyDescent="0.25">
      <c r="H36" s="13"/>
    </row>
    <row r="37" spans="8:8" x14ac:dyDescent="0.25">
      <c r="H37" s="13"/>
    </row>
  </sheetData>
  <mergeCells count="16">
    <mergeCell ref="X13:X15"/>
    <mergeCell ref="B20:D20"/>
    <mergeCell ref="E20:G20"/>
    <mergeCell ref="A6:C6"/>
    <mergeCell ref="A7:C7"/>
    <mergeCell ref="A8:C8"/>
    <mergeCell ref="H20:J20"/>
    <mergeCell ref="K20:M20"/>
    <mergeCell ref="N20:P20"/>
    <mergeCell ref="K19:P19"/>
    <mergeCell ref="A17:B17"/>
    <mergeCell ref="A4:C4"/>
    <mergeCell ref="N4:O4"/>
    <mergeCell ref="A5:C5"/>
    <mergeCell ref="A1:P1"/>
    <mergeCell ref="H3:I3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Normal="100" workbookViewId="0">
      <selection activeCell="H9" sqref="H9"/>
    </sheetView>
  </sheetViews>
  <sheetFormatPr defaultRowHeight="15" x14ac:dyDescent="0.25"/>
  <cols>
    <col min="2" max="4" width="10.7109375" customWidth="1"/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8" x14ac:dyDescent="0.25">
      <c r="A3" s="22"/>
      <c r="B3" s="22"/>
      <c r="C3" s="75" t="s">
        <v>53</v>
      </c>
      <c r="D3" s="77">
        <f>'Forecast &amp; VAL'!D3</f>
        <v>2019</v>
      </c>
      <c r="E3" s="74"/>
      <c r="F3" s="77">
        <f>D3-1</f>
        <v>2018</v>
      </c>
      <c r="G3" s="74"/>
      <c r="H3" s="94" t="s">
        <v>62</v>
      </c>
      <c r="I3" s="94"/>
      <c r="J3" s="77"/>
      <c r="K3" s="74"/>
      <c r="L3" s="74"/>
      <c r="M3" s="74"/>
      <c r="N3" s="74"/>
      <c r="O3" s="74"/>
    </row>
    <row r="4" spans="1:28" x14ac:dyDescent="0.25">
      <c r="A4" s="85" t="s">
        <v>28</v>
      </c>
      <c r="B4" s="86"/>
      <c r="C4" s="86"/>
      <c r="D4" s="95">
        <f>'Forecast &amp; VAL'!D4</f>
        <v>0.03</v>
      </c>
      <c r="E4" s="96" t="s">
        <v>3</v>
      </c>
      <c r="F4" s="97">
        <f>'Forecast &amp; VAL'!F4</f>
        <v>20</v>
      </c>
      <c r="G4" s="98"/>
      <c r="H4" s="77" t="s">
        <v>60</v>
      </c>
      <c r="I4" s="95">
        <f>J12/C12</f>
        <v>0.4</v>
      </c>
      <c r="J4" s="74"/>
      <c r="K4" s="74"/>
      <c r="L4" s="74"/>
      <c r="M4" s="99"/>
      <c r="N4" s="94" t="s">
        <v>45</v>
      </c>
      <c r="O4" s="94"/>
      <c r="P4" s="64"/>
      <c r="Q4" s="33"/>
      <c r="T4" s="64"/>
      <c r="U4" s="64"/>
      <c r="V4" s="64"/>
      <c r="W4" s="64"/>
    </row>
    <row r="5" spans="1:28" x14ac:dyDescent="0.25">
      <c r="A5" s="86"/>
      <c r="B5" s="86"/>
      <c r="C5" s="86"/>
      <c r="D5" s="95"/>
      <c r="E5" s="96" t="s">
        <v>25</v>
      </c>
      <c r="F5" s="97">
        <f>'Forecast &amp; VAL'!F5</f>
        <v>9.5</v>
      </c>
      <c r="G5" s="74"/>
      <c r="H5" s="77" t="s">
        <v>61</v>
      </c>
      <c r="I5" s="95">
        <f>N12/J12</f>
        <v>0.5</v>
      </c>
      <c r="J5" s="74"/>
      <c r="K5" s="74"/>
      <c r="L5" s="74"/>
      <c r="M5" s="100"/>
      <c r="N5" s="96" t="s">
        <v>54</v>
      </c>
      <c r="O5" s="101">
        <f>'Forecast &amp; VAL'!O5</f>
        <v>0.05</v>
      </c>
      <c r="P5" s="33"/>
      <c r="Q5" s="33"/>
      <c r="T5" s="9"/>
      <c r="U5" s="9"/>
      <c r="V5" s="9"/>
      <c r="W5" s="9"/>
    </row>
    <row r="6" spans="1:28" x14ac:dyDescent="0.25">
      <c r="A6" s="86" t="s">
        <v>26</v>
      </c>
      <c r="B6" s="86"/>
      <c r="C6" s="86"/>
      <c r="D6" s="95">
        <f>'Forecast &amp; VAL'!D6</f>
        <v>0.26</v>
      </c>
      <c r="E6" s="96" t="s">
        <v>51</v>
      </c>
      <c r="F6" s="97">
        <f>'Forecast &amp; VAL'!F6</f>
        <v>31</v>
      </c>
      <c r="G6" s="74"/>
      <c r="H6" s="74"/>
      <c r="I6" s="74"/>
      <c r="J6" s="74"/>
      <c r="K6" s="74"/>
      <c r="L6" s="74"/>
      <c r="M6" s="99"/>
      <c r="N6" s="96" t="s">
        <v>55</v>
      </c>
      <c r="O6" s="101">
        <f>'Forecast &amp; VAL'!O6</f>
        <v>0.02</v>
      </c>
      <c r="P6" s="33"/>
      <c r="Q6" s="33"/>
      <c r="T6" s="33"/>
      <c r="U6" s="33"/>
      <c r="V6" s="33"/>
      <c r="W6" s="33"/>
    </row>
    <row r="7" spans="1:28" ht="18" x14ac:dyDescent="0.35">
      <c r="A7" s="86" t="s">
        <v>27</v>
      </c>
      <c r="B7" s="86"/>
      <c r="C7" s="86"/>
      <c r="D7" s="95">
        <f>'Forecast &amp; VAL'!D7</f>
        <v>0.26</v>
      </c>
      <c r="E7" s="96" t="s">
        <v>66</v>
      </c>
      <c r="F7" s="102">
        <f>'Forecast &amp; VAL'!F7</f>
        <v>0.10249999999999999</v>
      </c>
      <c r="G7" s="74"/>
      <c r="H7" s="74"/>
      <c r="I7" s="74"/>
      <c r="J7" s="74"/>
      <c r="K7" s="74"/>
      <c r="L7" s="74"/>
      <c r="M7" s="100"/>
      <c r="N7" s="103" t="s">
        <v>56</v>
      </c>
      <c r="O7" s="101">
        <f>'Forecast &amp; VAL'!O7</f>
        <v>0.02</v>
      </c>
      <c r="P7" s="33"/>
      <c r="Q7" s="33"/>
      <c r="T7" s="33"/>
      <c r="U7" s="33"/>
      <c r="V7" s="33"/>
      <c r="W7" s="33"/>
    </row>
    <row r="8" spans="1:28" ht="18" x14ac:dyDescent="0.35">
      <c r="A8" s="86" t="s">
        <v>7</v>
      </c>
      <c r="B8" s="86"/>
      <c r="C8" s="86"/>
      <c r="D8" s="95">
        <f>'Forecast &amp; VAL'!D8</f>
        <v>0.1</v>
      </c>
      <c r="E8" s="96" t="s">
        <v>57</v>
      </c>
      <c r="F8" s="102">
        <f>'Forecast &amp; VAL'!F8</f>
        <v>0.08</v>
      </c>
      <c r="G8" s="74"/>
      <c r="H8" s="74"/>
      <c r="I8" s="74"/>
      <c r="J8" s="74"/>
      <c r="K8" s="74"/>
      <c r="L8" s="74"/>
      <c r="M8" s="104"/>
      <c r="N8" s="96" t="s">
        <v>52</v>
      </c>
      <c r="O8" s="101">
        <f>'Forecast &amp; VAL'!O8</f>
        <v>0.01</v>
      </c>
      <c r="P8" s="64"/>
      <c r="Q8" s="64"/>
      <c r="T8" s="64"/>
      <c r="U8" s="64"/>
      <c r="V8" s="64"/>
      <c r="W8" s="64"/>
    </row>
    <row r="9" spans="1:28" x14ac:dyDescent="0.25">
      <c r="A9" s="62"/>
      <c r="B9" s="62"/>
      <c r="C9" s="75" t="s">
        <v>59</v>
      </c>
      <c r="D9" s="97">
        <f>'Forecast &amp; VAL'!D9</f>
        <v>10.1</v>
      </c>
      <c r="E9" s="74"/>
      <c r="F9" s="74"/>
      <c r="G9" s="74"/>
      <c r="H9" s="74"/>
      <c r="I9" s="74"/>
      <c r="J9" s="74"/>
      <c r="K9" s="74"/>
      <c r="L9" s="74"/>
      <c r="M9" s="74"/>
      <c r="N9" s="96" t="s">
        <v>24</v>
      </c>
      <c r="O9" s="105">
        <f>SUM(O5:O8)</f>
        <v>0.1</v>
      </c>
      <c r="P9" s="8"/>
      <c r="Q9" s="9"/>
      <c r="R9" s="9"/>
      <c r="S9" s="9"/>
      <c r="T9" s="9"/>
      <c r="U9" s="9"/>
      <c r="V9" s="9"/>
      <c r="W9" s="9"/>
    </row>
    <row r="10" spans="1:28" x14ac:dyDescent="0.25">
      <c r="A10" s="62"/>
      <c r="B10" s="62"/>
      <c r="C10" s="62"/>
      <c r="N10" s="75"/>
      <c r="O10" s="41"/>
      <c r="P10" s="8"/>
      <c r="Q10" s="9"/>
      <c r="R10" s="9"/>
      <c r="S10" s="9"/>
      <c r="T10" s="9"/>
      <c r="U10" s="9"/>
      <c r="V10" s="9"/>
      <c r="W10" s="9"/>
    </row>
    <row r="11" spans="1:28" ht="30" x14ac:dyDescent="0.25">
      <c r="B11" s="2" t="s">
        <v>0</v>
      </c>
      <c r="C11" s="2" t="s">
        <v>1</v>
      </c>
      <c r="D11" s="2" t="s">
        <v>63</v>
      </c>
      <c r="E11" s="2" t="s">
        <v>17</v>
      </c>
      <c r="F11" s="2" t="s">
        <v>11</v>
      </c>
      <c r="G11" s="2" t="s">
        <v>5</v>
      </c>
      <c r="H11" s="15" t="s">
        <v>25</v>
      </c>
      <c r="I11" s="3" t="s">
        <v>51</v>
      </c>
      <c r="J11" s="2" t="s">
        <v>64</v>
      </c>
      <c r="K11" s="2" t="s">
        <v>6</v>
      </c>
      <c r="L11" s="2" t="s">
        <v>4</v>
      </c>
      <c r="M11" s="2" t="s">
        <v>46</v>
      </c>
      <c r="N11" s="2" t="s">
        <v>3</v>
      </c>
      <c r="O11" s="2" t="s">
        <v>65</v>
      </c>
      <c r="Q11" s="2" t="s">
        <v>64</v>
      </c>
      <c r="X11" s="5"/>
    </row>
    <row r="12" spans="1:28" x14ac:dyDescent="0.25">
      <c r="A12">
        <v>0</v>
      </c>
      <c r="B12" s="1">
        <f>D3</f>
        <v>2019</v>
      </c>
      <c r="C12" s="106">
        <f>'Forecast &amp; VAL'!C12</f>
        <v>100</v>
      </c>
      <c r="D12" s="106">
        <f>'Forecast &amp; VAL'!D12</f>
        <v>60</v>
      </c>
      <c r="E12" s="106">
        <f>'Forecast &amp; VAL'!E12</f>
        <v>5</v>
      </c>
      <c r="F12" s="107">
        <f t="shared" ref="F12:F15" si="0">C12-D12-E12</f>
        <v>35</v>
      </c>
      <c r="G12" s="106">
        <f>F12*(1-$D$6)</f>
        <v>25.9</v>
      </c>
      <c r="H12" s="106">
        <f>'Forecast &amp; VAL'!H12</f>
        <v>10</v>
      </c>
      <c r="I12" s="106">
        <f>'Forecast &amp; VAL'!I12</f>
        <v>30</v>
      </c>
      <c r="J12" s="106">
        <f>I12+H12</f>
        <v>40</v>
      </c>
      <c r="K12" s="106">
        <f>G12+E12-(H12-F5)-(I12-F6+E12)</f>
        <v>26.4</v>
      </c>
      <c r="L12" s="68">
        <f>G12/J12</f>
        <v>0.64749999999999996</v>
      </c>
      <c r="M12" s="70">
        <f>J12*(L12-$D$8)</f>
        <v>21.9</v>
      </c>
      <c r="N12" s="69">
        <v>20</v>
      </c>
      <c r="O12" s="69">
        <v>2.2000000000000002</v>
      </c>
      <c r="V12" s="17"/>
      <c r="W12" s="17"/>
      <c r="X12" s="11"/>
      <c r="Y12" s="16"/>
      <c r="Z12" s="16"/>
    </row>
    <row r="13" spans="1:28" x14ac:dyDescent="0.25">
      <c r="A13">
        <f>A12+1</f>
        <v>1</v>
      </c>
      <c r="B13" s="1">
        <f>B12+1</f>
        <v>2020</v>
      </c>
      <c r="C13" s="69">
        <f>C12*(1+$C$17+$C$18)</f>
        <v>113.5</v>
      </c>
      <c r="D13" s="69">
        <f>(D$17*$C13)*(1-$D$18)</f>
        <v>66.738</v>
      </c>
      <c r="E13" s="69">
        <f t="shared" ref="D13:E15" si="1">E$17*$C13</f>
        <v>5.6750000000000007</v>
      </c>
      <c r="F13" s="70">
        <f t="shared" si="0"/>
        <v>41.087000000000003</v>
      </c>
      <c r="G13" s="69">
        <f>F13*(1-$D$6)</f>
        <v>30.404380000000003</v>
      </c>
      <c r="H13" s="69">
        <f>H12*(1+$C$17)</f>
        <v>11</v>
      </c>
      <c r="I13" s="69">
        <f>I12*(1+$C$17)</f>
        <v>33</v>
      </c>
      <c r="J13" s="69">
        <f t="shared" ref="J13:J15" si="2">I13+H13</f>
        <v>44</v>
      </c>
      <c r="K13" s="69">
        <f>G13+E13-(H13-H12)-(I13-I12+E13)</f>
        <v>26.40438</v>
      </c>
      <c r="L13" s="68">
        <f>G13/J13</f>
        <v>0.69100863636363641</v>
      </c>
      <c r="M13" s="70">
        <f>J13*(L13-$D$8)</f>
        <v>26.004380000000005</v>
      </c>
      <c r="N13" s="69">
        <f>J13*$I$5</f>
        <v>22</v>
      </c>
      <c r="O13" s="69">
        <f>O$17*N12</f>
        <v>2.2000000000000002</v>
      </c>
      <c r="Q13" s="30">
        <f>$I$4*C13</f>
        <v>45.400000000000006</v>
      </c>
      <c r="X13" s="88"/>
      <c r="Z13" s="27"/>
      <c r="AB13" s="27"/>
    </row>
    <row r="14" spans="1:28" x14ac:dyDescent="0.25">
      <c r="A14">
        <f>A13+1</f>
        <v>2</v>
      </c>
      <c r="B14" s="1">
        <f t="shared" ref="B14:B15" si="3">B13+1</f>
        <v>2021</v>
      </c>
      <c r="C14" s="69">
        <f>C13*(1+$C$17+$C$18)</f>
        <v>128.82249999999999</v>
      </c>
      <c r="D14" s="69">
        <f t="shared" ref="D14:D15" si="4">(D$17*$C14)*(1-$D$18)</f>
        <v>75.747629999999987</v>
      </c>
      <c r="E14" s="69">
        <f t="shared" si="1"/>
        <v>6.4411249999999995</v>
      </c>
      <c r="F14" s="70">
        <f t="shared" si="0"/>
        <v>46.633745000000005</v>
      </c>
      <c r="G14" s="69">
        <f>F14*(1-$D$6)</f>
        <v>34.508971300000006</v>
      </c>
      <c r="H14" s="69">
        <f>H13*(1+$C$17)</f>
        <v>12.100000000000001</v>
      </c>
      <c r="I14" s="69">
        <f>I13*(1+$C$17)</f>
        <v>36.300000000000004</v>
      </c>
      <c r="J14" s="69">
        <f t="shared" si="2"/>
        <v>48.400000000000006</v>
      </c>
      <c r="K14" s="69">
        <f>G14+E14-(H14-H13)-(I14-I13+E14)</f>
        <v>30.1089713</v>
      </c>
      <c r="L14" s="68">
        <f>G14/J14</f>
        <v>0.71299527479338842</v>
      </c>
      <c r="M14" s="70">
        <f>J14*(L14-$D$8)</f>
        <v>29.668971300000003</v>
      </c>
      <c r="N14" s="69">
        <f>J14*$I$5</f>
        <v>24.200000000000003</v>
      </c>
      <c r="O14" s="69">
        <f>O$17*N13</f>
        <v>2.4200000000000004</v>
      </c>
      <c r="Q14" s="30">
        <f t="shared" ref="Q14:Q15" si="5">$I$4*C14</f>
        <v>51.528999999999996</v>
      </c>
      <c r="X14" s="88"/>
      <c r="Z14" s="27"/>
      <c r="AB14" s="27"/>
    </row>
    <row r="15" spans="1:28" x14ac:dyDescent="0.25">
      <c r="B15" s="1">
        <f t="shared" si="3"/>
        <v>2022</v>
      </c>
      <c r="C15" s="69">
        <f>C14*(1+$D$4)</f>
        <v>132.687175</v>
      </c>
      <c r="D15" s="69">
        <f t="shared" si="4"/>
        <v>78.020058899999995</v>
      </c>
      <c r="E15" s="69">
        <f t="shared" si="1"/>
        <v>6.6343587500000005</v>
      </c>
      <c r="F15" s="70">
        <f t="shared" si="0"/>
        <v>48.032757349999997</v>
      </c>
      <c r="G15" s="69">
        <f>F15*(1-$D$6)</f>
        <v>35.544240438999999</v>
      </c>
      <c r="H15" s="69">
        <f>H14*(1+$D$4)</f>
        <v>12.463000000000001</v>
      </c>
      <c r="I15" s="69">
        <f>I14*(1+$D$4)</f>
        <v>37.389000000000003</v>
      </c>
      <c r="J15" s="69">
        <f t="shared" si="2"/>
        <v>49.852000000000004</v>
      </c>
      <c r="K15" s="69">
        <f>G15+E15-(H15-H14)-(I15-I14+E15)</f>
        <v>34.092240438999994</v>
      </c>
      <c r="L15" s="68">
        <f>G15/J15</f>
        <v>0.71299527479338831</v>
      </c>
      <c r="M15" s="70">
        <f>J15*(L15-$D$8)</f>
        <v>30.559040438999997</v>
      </c>
      <c r="N15" s="69">
        <f>J15*$I$5</f>
        <v>24.926000000000002</v>
      </c>
      <c r="O15" s="69">
        <f>O$17*N14</f>
        <v>2.6620000000000008</v>
      </c>
      <c r="Q15" s="30">
        <f t="shared" si="5"/>
        <v>53.074870000000004</v>
      </c>
      <c r="V15" s="18"/>
      <c r="W15" s="18"/>
      <c r="X15" s="88"/>
      <c r="Z15" s="27"/>
      <c r="AB15" s="27"/>
    </row>
    <row r="16" spans="1:28" x14ac:dyDescent="0.25">
      <c r="B16" s="1"/>
      <c r="C16" s="6"/>
      <c r="D16" s="6"/>
      <c r="E16" s="6"/>
      <c r="F16" s="10"/>
      <c r="M16" s="6"/>
      <c r="N16" s="6"/>
      <c r="O16" s="6"/>
      <c r="Q16" s="6"/>
      <c r="R16" s="6"/>
      <c r="S16" s="7"/>
      <c r="T16" s="9"/>
      <c r="V16" s="18"/>
      <c r="W16" s="18"/>
      <c r="X16" s="65"/>
      <c r="Z16" s="27"/>
      <c r="AB16" s="27"/>
    </row>
    <row r="17" spans="1:27" x14ac:dyDescent="0.25">
      <c r="A17" s="87" t="s">
        <v>2</v>
      </c>
      <c r="B17" s="87"/>
      <c r="C17" s="55">
        <f>O9</f>
        <v>0.1</v>
      </c>
      <c r="D17" s="55">
        <f>D12/$C$12</f>
        <v>0.6</v>
      </c>
      <c r="E17" s="55">
        <f>E12/$C$12</f>
        <v>0.05</v>
      </c>
      <c r="F17" s="40"/>
      <c r="M17" s="6"/>
      <c r="N17" s="6"/>
      <c r="O17" s="55">
        <f>O12/$F$4</f>
        <v>0.11000000000000001</v>
      </c>
      <c r="Q17" s="6"/>
      <c r="R17" s="6"/>
      <c r="S17" s="6"/>
      <c r="T17" s="6"/>
      <c r="U17" s="19"/>
      <c r="V17" s="19"/>
      <c r="W17" s="19"/>
      <c r="X17" s="12"/>
    </row>
    <row r="18" spans="1:27" x14ac:dyDescent="0.25">
      <c r="A18" s="33"/>
      <c r="B18" s="33"/>
      <c r="C18" s="55">
        <v>3.5000000000000003E-2</v>
      </c>
      <c r="D18" s="55">
        <v>0.02</v>
      </c>
      <c r="E18" s="55"/>
      <c r="F18" s="40"/>
      <c r="M18" s="6"/>
      <c r="N18" s="6"/>
      <c r="O18" s="55">
        <v>0.06</v>
      </c>
      <c r="Q18" s="6"/>
      <c r="R18" s="6"/>
      <c r="S18" s="6"/>
      <c r="T18" s="6"/>
      <c r="U18" s="19"/>
      <c r="V18" s="19"/>
      <c r="W18" s="19"/>
      <c r="X18" s="12"/>
    </row>
    <row r="19" spans="1:27" x14ac:dyDescent="0.25">
      <c r="A19" s="33"/>
      <c r="B19" s="33"/>
      <c r="C19" s="55"/>
      <c r="D19" s="55"/>
      <c r="E19" s="55"/>
      <c r="F19" s="40"/>
      <c r="M19" s="6"/>
      <c r="N19" s="6"/>
      <c r="O19" s="55"/>
      <c r="Q19" s="6"/>
      <c r="R19" s="6"/>
      <c r="S19" s="6"/>
      <c r="T19" s="6"/>
      <c r="U19" s="19"/>
      <c r="V19" s="19"/>
      <c r="W19" s="19"/>
      <c r="X19" s="12"/>
    </row>
    <row r="20" spans="1:27" x14ac:dyDescent="0.25">
      <c r="K20" s="93" t="s">
        <v>18</v>
      </c>
      <c r="L20" s="93"/>
      <c r="M20" s="93"/>
      <c r="N20" s="93"/>
      <c r="O20" s="93"/>
      <c r="P20" s="93"/>
      <c r="Q20" s="61"/>
      <c r="R20" s="67"/>
      <c r="S20" s="67"/>
      <c r="X20" s="33"/>
    </row>
    <row r="21" spans="1:27" ht="18" x14ac:dyDescent="0.35">
      <c r="B21" s="89" t="s">
        <v>67</v>
      </c>
      <c r="C21" s="89"/>
      <c r="D21" s="89"/>
      <c r="E21" s="90" t="s">
        <v>6</v>
      </c>
      <c r="F21" s="90"/>
      <c r="G21" s="90"/>
      <c r="H21" s="91" t="s">
        <v>29</v>
      </c>
      <c r="I21" s="91"/>
      <c r="J21" s="91"/>
      <c r="K21" s="92" t="s">
        <v>8</v>
      </c>
      <c r="L21" s="92"/>
      <c r="M21" s="92"/>
      <c r="N21" s="92" t="s">
        <v>9</v>
      </c>
      <c r="O21" s="92"/>
      <c r="P21" s="92"/>
      <c r="X21" s="13"/>
      <c r="Y21" s="66"/>
      <c r="Z21" s="66"/>
      <c r="AA21" s="66"/>
    </row>
    <row r="22" spans="1:27" ht="33" x14ac:dyDescent="0.35">
      <c r="B22" s="37" t="s">
        <v>6</v>
      </c>
      <c r="C22" s="37" t="s">
        <v>36</v>
      </c>
      <c r="D22" s="37" t="s">
        <v>37</v>
      </c>
      <c r="E22" s="24" t="s">
        <v>6</v>
      </c>
      <c r="F22" s="24" t="s">
        <v>12</v>
      </c>
      <c r="G22" s="24" t="s">
        <v>13</v>
      </c>
      <c r="H22" s="34" t="s">
        <v>6</v>
      </c>
      <c r="I22" s="34" t="s">
        <v>30</v>
      </c>
      <c r="J22" s="34" t="s">
        <v>31</v>
      </c>
      <c r="K22" s="28" t="s">
        <v>6</v>
      </c>
      <c r="L22" s="28" t="s">
        <v>22</v>
      </c>
      <c r="M22" s="28" t="s">
        <v>23</v>
      </c>
      <c r="N22" s="28" t="s">
        <v>19</v>
      </c>
      <c r="O22" s="28" t="s">
        <v>20</v>
      </c>
      <c r="P22" s="28" t="s">
        <v>21</v>
      </c>
      <c r="X22" s="14"/>
      <c r="Z22" s="18"/>
      <c r="AA22" s="18"/>
    </row>
    <row r="23" spans="1:27" x14ac:dyDescent="0.25">
      <c r="A23">
        <f>A12</f>
        <v>0</v>
      </c>
      <c r="B23" s="38">
        <f>K12</f>
        <v>26.4</v>
      </c>
      <c r="C23" s="51"/>
      <c r="D23" s="51"/>
      <c r="E23" s="25">
        <f>K12</f>
        <v>26.4</v>
      </c>
      <c r="F23" s="25"/>
      <c r="G23" s="25"/>
      <c r="H23" s="35">
        <f>K12</f>
        <v>26.4</v>
      </c>
      <c r="I23" s="35"/>
      <c r="J23" s="35"/>
      <c r="K23" s="29">
        <f>K12</f>
        <v>26.4</v>
      </c>
      <c r="L23" s="43"/>
      <c r="M23" s="43"/>
      <c r="N23" s="29">
        <f>O12*$D$7</f>
        <v>0.57200000000000006</v>
      </c>
      <c r="O23" s="43"/>
      <c r="P23" s="43"/>
      <c r="X23" s="4"/>
      <c r="Z23" s="18"/>
      <c r="AA23" s="18"/>
    </row>
    <row r="24" spans="1:27" x14ac:dyDescent="0.25">
      <c r="A24">
        <f>A13</f>
        <v>1</v>
      </c>
      <c r="B24" s="38">
        <f>K13</f>
        <v>26.40438</v>
      </c>
      <c r="C24" s="38">
        <f>B24/((1+$D$8)^A13)</f>
        <v>24.003981818181817</v>
      </c>
      <c r="D24" s="38">
        <f>C24</f>
        <v>24.003981818181817</v>
      </c>
      <c r="E24" s="25">
        <f>K13</f>
        <v>26.40438</v>
      </c>
      <c r="F24" s="25">
        <f>E24/((1+$D$8)^$A24)</f>
        <v>24.003981818181817</v>
      </c>
      <c r="G24" s="25">
        <f>F24</f>
        <v>24.003981818181817</v>
      </c>
      <c r="H24" s="35">
        <f>K13</f>
        <v>26.40438</v>
      </c>
      <c r="I24" s="35">
        <f>H24/((1+$D$8)^$A24)</f>
        <v>24.003981818181817</v>
      </c>
      <c r="J24" s="35">
        <f>I24</f>
        <v>24.003981818181817</v>
      </c>
      <c r="K24" s="29">
        <f>K13</f>
        <v>26.40438</v>
      </c>
      <c r="L24" s="29">
        <f>K13/((1+$F$7)^A13)</f>
        <v>23.949551020408162</v>
      </c>
      <c r="M24" s="29">
        <f>L24</f>
        <v>23.949551020408162</v>
      </c>
      <c r="N24" s="29">
        <f>O13*$D$7</f>
        <v>0.57200000000000006</v>
      </c>
      <c r="O24" s="29">
        <f>N24/((1+$F$8)^A13)</f>
        <v>0.52962962962962967</v>
      </c>
      <c r="P24" s="29">
        <f>O24</f>
        <v>0.52962962962962967</v>
      </c>
      <c r="Z24" s="18"/>
      <c r="AA24" s="18"/>
    </row>
    <row r="25" spans="1:27" x14ac:dyDescent="0.25">
      <c r="A25">
        <f>A14</f>
        <v>2</v>
      </c>
      <c r="B25" s="38">
        <f>K14</f>
        <v>30.1089713</v>
      </c>
      <c r="C25" s="38">
        <f>B25/((1+$D$8)^A14)</f>
        <v>24.883447355371896</v>
      </c>
      <c r="D25" s="38">
        <f>D24+C25</f>
        <v>48.887429173553713</v>
      </c>
      <c r="E25" s="25">
        <f>K14</f>
        <v>30.1089713</v>
      </c>
      <c r="F25" s="25">
        <f>E25/((1+$D$8)^A25)</f>
        <v>24.883447355371896</v>
      </c>
      <c r="G25" s="63">
        <f>G24+F25</f>
        <v>48.887429173553713</v>
      </c>
      <c r="H25" s="35">
        <f>K14</f>
        <v>30.1089713</v>
      </c>
      <c r="I25" s="35">
        <f>H25/((1+$D$8)^$A25)</f>
        <v>24.883447355371896</v>
      </c>
      <c r="J25" s="35">
        <f>J24+I25</f>
        <v>48.887429173553713</v>
      </c>
      <c r="K25" s="29">
        <f>K14</f>
        <v>30.1089713</v>
      </c>
      <c r="L25" s="29">
        <f>K14/((1+$F$7)^A14)</f>
        <v>24.770725201947748</v>
      </c>
      <c r="M25" s="29">
        <f>M24+L25</f>
        <v>48.720276222355906</v>
      </c>
      <c r="N25" s="29">
        <f>O14*$D$7</f>
        <v>0.62920000000000009</v>
      </c>
      <c r="O25" s="29">
        <f>N25/((1+$F$8)^A14)</f>
        <v>0.53943758573388201</v>
      </c>
      <c r="P25" s="29">
        <f>P24+O25</f>
        <v>1.0690672153635117</v>
      </c>
    </row>
    <row r="26" spans="1:27" x14ac:dyDescent="0.25">
      <c r="B26" s="38">
        <f>K15</f>
        <v>34.092240438999994</v>
      </c>
      <c r="C26" s="51"/>
      <c r="D26" s="51"/>
      <c r="E26" s="25">
        <f>K15</f>
        <v>34.092240438999994</v>
      </c>
      <c r="F26" s="25"/>
      <c r="G26" s="25"/>
      <c r="H26" s="35">
        <f>K15</f>
        <v>34.092240438999994</v>
      </c>
      <c r="I26" s="35"/>
      <c r="J26" s="35"/>
      <c r="K26" s="29">
        <f>K15</f>
        <v>34.092240438999994</v>
      </c>
      <c r="L26" s="43"/>
      <c r="M26" s="43"/>
      <c r="N26" s="29">
        <f>O15*$D$7</f>
        <v>0.69212000000000018</v>
      </c>
      <c r="O26" s="43"/>
      <c r="P26" s="43"/>
    </row>
    <row r="27" spans="1:27" x14ac:dyDescent="0.25">
      <c r="B27" s="39"/>
      <c r="C27" s="39"/>
      <c r="D27" s="39"/>
      <c r="E27" s="26"/>
      <c r="F27" s="26"/>
      <c r="G27" s="26"/>
      <c r="H27" s="36"/>
      <c r="I27" s="36"/>
      <c r="J27" s="36"/>
      <c r="K27" s="20"/>
      <c r="L27" s="20"/>
      <c r="M27" s="20"/>
      <c r="N27" s="20"/>
      <c r="O27" s="20"/>
      <c r="P27" s="20"/>
    </row>
    <row r="28" spans="1:27" ht="18" x14ac:dyDescent="0.35">
      <c r="B28" s="52"/>
      <c r="C28" s="53" t="s">
        <v>47</v>
      </c>
      <c r="D28" s="52">
        <f>D25</f>
        <v>48.887429173553713</v>
      </c>
      <c r="E28" s="45"/>
      <c r="F28" s="46" t="s">
        <v>12</v>
      </c>
      <c r="G28" s="45">
        <f>G25</f>
        <v>48.887429173553713</v>
      </c>
      <c r="H28" s="42"/>
      <c r="I28" s="47" t="s">
        <v>32</v>
      </c>
      <c r="J28" s="42">
        <f>J25</f>
        <v>48.887429173553713</v>
      </c>
      <c r="K28" s="48"/>
      <c r="L28" s="49" t="s">
        <v>22</v>
      </c>
      <c r="M28" s="48">
        <f>M25</f>
        <v>48.720276222355906</v>
      </c>
      <c r="N28" s="48"/>
      <c r="O28" s="49" t="s">
        <v>38</v>
      </c>
      <c r="P28" s="48">
        <f>P25</f>
        <v>1.0690672153635117</v>
      </c>
    </row>
    <row r="29" spans="1:27" ht="18" x14ac:dyDescent="0.35">
      <c r="B29" s="52"/>
      <c r="C29" s="53" t="s">
        <v>48</v>
      </c>
      <c r="D29" s="54">
        <f>F15*D9</f>
        <v>485.13084923499997</v>
      </c>
      <c r="E29" s="45"/>
      <c r="F29" s="46" t="s">
        <v>14</v>
      </c>
      <c r="G29" s="45">
        <f>(E26)/(D8-D4)</f>
        <v>487.03200627142843</v>
      </c>
      <c r="H29" s="42"/>
      <c r="I29" s="47" t="s">
        <v>33</v>
      </c>
      <c r="J29" s="42">
        <f>(G15*(1-(D4/L15)))/(D8-D4)</f>
        <v>486.40972055714286</v>
      </c>
      <c r="K29" s="48"/>
      <c r="L29" s="49" t="s">
        <v>39</v>
      </c>
      <c r="M29" s="48">
        <f>(K26)/(F7-D4)</f>
        <v>470.23779915862065</v>
      </c>
      <c r="N29" s="48"/>
      <c r="O29" s="49" t="s">
        <v>40</v>
      </c>
      <c r="P29" s="48">
        <f>(N26)/(F8-D4)</f>
        <v>13.842400000000003</v>
      </c>
    </row>
    <row r="30" spans="1:27" ht="18" x14ac:dyDescent="0.35">
      <c r="B30" s="52"/>
      <c r="C30" s="53" t="s">
        <v>49</v>
      </c>
      <c r="D30" s="52">
        <f>D29/((1+D8)^A14)</f>
        <v>400.93458614462799</v>
      </c>
      <c r="E30" s="45"/>
      <c r="F30" s="46" t="s">
        <v>15</v>
      </c>
      <c r="G30" s="45">
        <f>G29/((1+D8)^A14)</f>
        <v>402.50579030696559</v>
      </c>
      <c r="H30" s="42"/>
      <c r="I30" s="47" t="s">
        <v>34</v>
      </c>
      <c r="J30" s="42">
        <f>J29/((1+D8)^A14)</f>
        <v>401.99150459267997</v>
      </c>
      <c r="K30" s="48"/>
      <c r="L30" s="49" t="s">
        <v>41</v>
      </c>
      <c r="M30" s="48">
        <f>M29/((1+F7)^A14)</f>
        <v>386.86580110848519</v>
      </c>
      <c r="N30" s="48"/>
      <c r="O30" s="49" t="s">
        <v>42</v>
      </c>
      <c r="P30" s="48">
        <f>P29/((1+F8)^A14)</f>
        <v>11.867626886145406</v>
      </c>
    </row>
    <row r="31" spans="1:27" ht="18" x14ac:dyDescent="0.35">
      <c r="B31" s="52"/>
      <c r="C31" s="53" t="s">
        <v>50</v>
      </c>
      <c r="D31" s="52">
        <f>D28+D30</f>
        <v>449.82201531818168</v>
      </c>
      <c r="E31" s="45"/>
      <c r="F31" s="46" t="s">
        <v>16</v>
      </c>
      <c r="G31" s="45">
        <f>G28+G30</f>
        <v>451.39321948051929</v>
      </c>
      <c r="H31" s="42"/>
      <c r="I31" s="47" t="s">
        <v>35</v>
      </c>
      <c r="J31" s="42">
        <f>J30+J28</f>
        <v>450.87893376623367</v>
      </c>
      <c r="K31" s="48"/>
      <c r="L31" s="49" t="s">
        <v>43</v>
      </c>
      <c r="M31" s="48">
        <f>M28+M30</f>
        <v>435.58607733084108</v>
      </c>
      <c r="N31" s="48"/>
      <c r="O31" s="49" t="s">
        <v>44</v>
      </c>
      <c r="P31" s="48">
        <f>P28+P30</f>
        <v>12.936694101508918</v>
      </c>
    </row>
    <row r="32" spans="1:27" x14ac:dyDescent="0.25">
      <c r="D32" s="21"/>
      <c r="E32" s="44"/>
      <c r="F32" s="50"/>
      <c r="G32" s="50"/>
      <c r="H32" s="50"/>
      <c r="I32" s="50"/>
      <c r="J32" s="50"/>
      <c r="K32" s="50"/>
      <c r="L32" s="48"/>
      <c r="M32" s="48"/>
      <c r="N32" s="48"/>
      <c r="O32" s="48"/>
      <c r="P32" s="48"/>
      <c r="Q32" s="48"/>
      <c r="R32" s="50"/>
      <c r="S32" s="50"/>
      <c r="T32" s="50"/>
    </row>
    <row r="33" spans="5:20" x14ac:dyDescent="0.25">
      <c r="E33" s="50"/>
      <c r="F33" s="50"/>
      <c r="G33" s="50"/>
      <c r="H33" s="50"/>
      <c r="I33" s="50"/>
      <c r="J33" s="50"/>
      <c r="K33" s="50"/>
      <c r="L33" s="48"/>
      <c r="M33" s="49" t="s">
        <v>10</v>
      </c>
      <c r="N33" s="48">
        <f>M31+P31</f>
        <v>448.52277143235</v>
      </c>
      <c r="P33" s="48"/>
      <c r="Q33" s="48"/>
      <c r="R33" s="50"/>
      <c r="S33" s="50"/>
      <c r="T33" s="50"/>
    </row>
    <row r="36" spans="5:20" x14ac:dyDescent="0.25">
      <c r="H36" s="13"/>
    </row>
    <row r="37" spans="5:20" x14ac:dyDescent="0.25">
      <c r="H37" s="13"/>
    </row>
    <row r="38" spans="5:20" x14ac:dyDescent="0.25">
      <c r="H38" s="13"/>
    </row>
  </sheetData>
  <mergeCells count="16">
    <mergeCell ref="A7:C7"/>
    <mergeCell ref="A8:C8"/>
    <mergeCell ref="X13:X15"/>
    <mergeCell ref="A17:B17"/>
    <mergeCell ref="K20:P20"/>
    <mergeCell ref="B21:D21"/>
    <mergeCell ref="E21:G21"/>
    <mergeCell ref="H21:J21"/>
    <mergeCell ref="K21:M21"/>
    <mergeCell ref="N21:P21"/>
    <mergeCell ref="A1:P1"/>
    <mergeCell ref="H3:I3"/>
    <mergeCell ref="A4:C4"/>
    <mergeCell ref="N4:O4"/>
    <mergeCell ref="A5:C5"/>
    <mergeCell ref="A6:C6"/>
  </mergeCells>
  <pageMargins left="0.7" right="0.7" top="0.75" bottom="0.7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69D38D6F00243A0B00E9C580DF17A" ma:contentTypeVersion="13" ma:contentTypeDescription="Create a new document." ma:contentTypeScope="" ma:versionID="76b9f3d90259b5df45e45c26dc4c6678">
  <xsd:schema xmlns:xsd="http://www.w3.org/2001/XMLSchema" xmlns:xs="http://www.w3.org/2001/XMLSchema" xmlns:p="http://schemas.microsoft.com/office/2006/metadata/properties" xmlns:ns3="c2612fa5-ccce-4251-b75c-38c81acd357a" xmlns:ns4="069fdbfb-56fb-4063-9646-a6eb9499c54a" targetNamespace="http://schemas.microsoft.com/office/2006/metadata/properties" ma:root="true" ma:fieldsID="643ccb298913e338398dbfa93aabbcc1" ns3:_="" ns4:_="">
    <xsd:import namespace="c2612fa5-ccce-4251-b75c-38c81acd357a"/>
    <xsd:import namespace="069fdbfb-56fb-4063-9646-a6eb9499c5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2fa5-ccce-4251-b75c-38c81acd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dbfb-56fb-4063-9646-a6eb9499c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EE254-9B12-470C-9F1F-ADFC86A27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80A7F-C558-4297-BE4F-078CE14A5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12fa5-ccce-4251-b75c-38c81acd357a"/>
    <ds:schemaRef ds:uri="069fdbfb-56fb-4063-9646-a6eb9499c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49D34E-280A-43CD-89C7-8F7B636E5F06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c2612fa5-ccce-4251-b75c-38c81acd357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69fdbfb-56fb-4063-9646-a6eb9499c5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&amp; VAL</vt:lpstr>
      <vt:lpstr>Forecast &amp; VAL with Adjusts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Richard Haskell</cp:lastModifiedBy>
  <cp:lastPrinted>2018-09-20T23:51:12Z</cp:lastPrinted>
  <dcterms:created xsi:type="dcterms:W3CDTF">2015-09-15T14:34:05Z</dcterms:created>
  <dcterms:modified xsi:type="dcterms:W3CDTF">2020-02-25T23:38:25Z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0x01010054469D38D6F00243A0B00E9C580DF17A</vt:lpwstr>
  </property>
</Properties>
</file>