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31884e92771e6bb/ICP - ICC/ICP - Market Studies/Johnson and Johnson/"/>
    </mc:Choice>
  </mc:AlternateContent>
  <bookViews>
    <workbookView xWindow="0" yWindow="0" windowWidth="28800" windowHeight="12435" activeTab="1"/>
  </bookViews>
  <sheets>
    <sheet name="Concensus Estimates" sheetId="1" r:id="rId1"/>
    <sheet name="Tax Estimator" sheetId="4" r:id="rId2"/>
    <sheet name="Valuation g = IR x ROIC" sheetId="5" r:id="rId3"/>
    <sheet name="Valuation g = % ∆ GDP 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8" l="1"/>
  <c r="H31" i="8"/>
  <c r="L30" i="8"/>
  <c r="H30" i="8"/>
  <c r="D30" i="8"/>
  <c r="L29" i="8"/>
  <c r="H29" i="8"/>
  <c r="E25" i="8"/>
  <c r="G25" i="8" s="1"/>
  <c r="G24" i="8"/>
  <c r="L32" i="8" s="1"/>
  <c r="E24" i="8"/>
  <c r="D32" i="8" s="1"/>
  <c r="E23" i="8"/>
  <c r="D31" i="8" s="1"/>
  <c r="E22" i="8"/>
  <c r="E21" i="8"/>
  <c r="D29" i="8" s="1"/>
  <c r="E29" i="8" s="1"/>
  <c r="F29" i="8" s="1"/>
  <c r="C21" i="8"/>
  <c r="C22" i="8" s="1"/>
  <c r="K20" i="8"/>
  <c r="E9" i="8" s="1"/>
  <c r="E20" i="8"/>
  <c r="L20" i="8" s="1"/>
  <c r="L19" i="8"/>
  <c r="K19" i="8"/>
  <c r="E19" i="8"/>
  <c r="L18" i="8"/>
  <c r="K18" i="8"/>
  <c r="E18" i="8"/>
  <c r="E11" i="8"/>
  <c r="N9" i="8"/>
  <c r="N12" i="8" s="1"/>
  <c r="M18" i="8" s="1"/>
  <c r="N18" i="8" s="1"/>
  <c r="M9" i="8"/>
  <c r="M12" i="8" s="1"/>
  <c r="M19" i="8" s="1"/>
  <c r="N19" i="8" s="1"/>
  <c r="L9" i="8"/>
  <c r="L12" i="8" s="1"/>
  <c r="M20" i="8" s="1"/>
  <c r="N20" i="8" s="1"/>
  <c r="E8" i="8"/>
  <c r="M29" i="8" s="1"/>
  <c r="N29" i="8" s="1"/>
  <c r="G25" i="5"/>
  <c r="G24" i="5"/>
  <c r="E18" i="5"/>
  <c r="E19" i="5"/>
  <c r="E20" i="5"/>
  <c r="E21" i="5"/>
  <c r="E22" i="5"/>
  <c r="E23" i="5"/>
  <c r="E24" i="5"/>
  <c r="E25" i="5"/>
  <c r="G11" i="1"/>
  <c r="F11" i="1"/>
  <c r="E11" i="1"/>
  <c r="D11" i="1"/>
  <c r="C11" i="1"/>
  <c r="B11" i="1"/>
  <c r="L32" i="5"/>
  <c r="H29" i="5"/>
  <c r="L29" i="5"/>
  <c r="H30" i="5"/>
  <c r="L30" i="5"/>
  <c r="H31" i="5"/>
  <c r="L31" i="5"/>
  <c r="K19" i="5"/>
  <c r="K18" i="5"/>
  <c r="L18" i="5" s="1"/>
  <c r="H33" i="8" l="1"/>
  <c r="I33" i="8" s="1"/>
  <c r="L33" i="8"/>
  <c r="J46" i="8"/>
  <c r="J47" i="8" s="1"/>
  <c r="N41" i="8"/>
  <c r="N42" i="8" s="1"/>
  <c r="J36" i="8"/>
  <c r="J37" i="8" s="1"/>
  <c r="F46" i="8"/>
  <c r="F47" i="8" s="1"/>
  <c r="J41" i="8"/>
  <c r="J42" i="8" s="1"/>
  <c r="H13" i="8"/>
  <c r="N51" i="8" s="1"/>
  <c r="N52" i="8" s="1"/>
  <c r="N46" i="8"/>
  <c r="N47" i="8" s="1"/>
  <c r="F41" i="8"/>
  <c r="F42" i="8" s="1"/>
  <c r="I30" i="8"/>
  <c r="C23" i="8"/>
  <c r="E31" i="8"/>
  <c r="F30" i="8"/>
  <c r="E30" i="8"/>
  <c r="I29" i="8"/>
  <c r="J29" i="8" s="1"/>
  <c r="J30" i="8" s="1"/>
  <c r="M30" i="8"/>
  <c r="N30" i="8" s="1"/>
  <c r="D33" i="8"/>
  <c r="H32" i="8"/>
  <c r="H32" i="5"/>
  <c r="F51" i="8" l="1"/>
  <c r="F52" i="8" s="1"/>
  <c r="J51" i="8"/>
  <c r="J52" i="8" s="1"/>
  <c r="F31" i="8"/>
  <c r="C24" i="8"/>
  <c r="M31" i="8"/>
  <c r="N31" i="8" s="1"/>
  <c r="M33" i="8"/>
  <c r="N36" i="8"/>
  <c r="N37" i="8" s="1"/>
  <c r="I32" i="8"/>
  <c r="F36" i="8"/>
  <c r="F37" i="8" s="1"/>
  <c r="E33" i="8"/>
  <c r="I31" i="8"/>
  <c r="J31" i="8" s="1"/>
  <c r="J32" i="8" s="1"/>
  <c r="J33" i="8" s="1"/>
  <c r="J35" i="8" s="1"/>
  <c r="L33" i="5"/>
  <c r="H33" i="5"/>
  <c r="E11" i="5"/>
  <c r="J38" i="8" l="1"/>
  <c r="J53" i="8"/>
  <c r="J43" i="8"/>
  <c r="J48" i="8"/>
  <c r="M32" i="8"/>
  <c r="N32" i="8" s="1"/>
  <c r="N33" i="8" s="1"/>
  <c r="E32" i="8"/>
  <c r="F32" i="8"/>
  <c r="F33" i="8" s="1"/>
  <c r="F35" i="8" s="1"/>
  <c r="K20" i="5"/>
  <c r="E8" i="5"/>
  <c r="I33" i="5" s="1"/>
  <c r="N35" i="8" l="1"/>
  <c r="N43" i="8"/>
  <c r="F43" i="8"/>
  <c r="F53" i="8"/>
  <c r="F38" i="8"/>
  <c r="F48" i="8"/>
  <c r="M33" i="5"/>
  <c r="D33" i="5"/>
  <c r="L9" i="5"/>
  <c r="L12" i="5" s="1"/>
  <c r="M20" i="5" s="1"/>
  <c r="N20" i="5" s="1"/>
  <c r="N53" i="8" l="1"/>
  <c r="N48" i="8"/>
  <c r="N38" i="8"/>
  <c r="E33" i="5"/>
  <c r="N9" i="5"/>
  <c r="N12" i="5" s="1"/>
  <c r="M18" i="5" s="1"/>
  <c r="N18" i="5" s="1"/>
  <c r="M9" i="5"/>
  <c r="M12" i="5" s="1"/>
  <c r="M19" i="5" s="1"/>
  <c r="N19" i="5" l="1"/>
  <c r="L19" i="5"/>
  <c r="D31" i="5"/>
  <c r="D30" i="5"/>
  <c r="D29" i="5"/>
  <c r="C21" i="5"/>
  <c r="E9" i="5"/>
  <c r="M12" i="4"/>
  <c r="M17" i="4"/>
  <c r="M16" i="4"/>
  <c r="M15" i="4"/>
  <c r="M14" i="4"/>
  <c r="M13" i="4"/>
  <c r="F20" i="4"/>
  <c r="F19" i="4"/>
  <c r="F18" i="4"/>
  <c r="F17" i="4"/>
  <c r="J16" i="4"/>
  <c r="J17" i="4" s="1"/>
  <c r="F16" i="4"/>
  <c r="J15" i="4"/>
  <c r="F15" i="4"/>
  <c r="J14" i="4"/>
  <c r="F14" i="4"/>
  <c r="F13" i="4"/>
  <c r="G13" i="4" s="1"/>
  <c r="G14" i="4" s="1"/>
  <c r="I29" i="5" l="1"/>
  <c r="J29" i="5" s="1"/>
  <c r="M29" i="5"/>
  <c r="N29" i="5" s="1"/>
  <c r="E29" i="5"/>
  <c r="L20" i="5"/>
  <c r="E10" i="5" s="1"/>
  <c r="D32" i="5"/>
  <c r="C22" i="5"/>
  <c r="F29" i="5"/>
  <c r="G15" i="4"/>
  <c r="G16" i="4" s="1"/>
  <c r="G17" i="4" s="1"/>
  <c r="G18" i="4" s="1"/>
  <c r="G19" i="4" s="1"/>
  <c r="G20" i="4" s="1"/>
  <c r="E30" i="5" l="1"/>
  <c r="I30" i="5"/>
  <c r="J30" i="5" s="1"/>
  <c r="M30" i="5"/>
  <c r="N30" i="5" s="1"/>
  <c r="N41" i="5"/>
  <c r="N42" i="5" s="1"/>
  <c r="J36" i="5"/>
  <c r="J37" i="5" s="1"/>
  <c r="J46" i="5"/>
  <c r="J47" i="5" s="1"/>
  <c r="J41" i="5"/>
  <c r="J42" i="5" s="1"/>
  <c r="N46" i="5"/>
  <c r="N47" i="5" s="1"/>
  <c r="N36" i="5"/>
  <c r="N37" i="5" s="1"/>
  <c r="F46" i="5"/>
  <c r="F41" i="5"/>
  <c r="F36" i="5"/>
  <c r="F37" i="5" s="1"/>
  <c r="F30" i="5"/>
  <c r="C23" i="5"/>
  <c r="D7" i="4"/>
  <c r="E7" i="4" s="1"/>
  <c r="I31" i="5" l="1"/>
  <c r="J31" i="5" s="1"/>
  <c r="M31" i="5"/>
  <c r="N31" i="5" s="1"/>
  <c r="E31" i="5"/>
  <c r="F31" i="5" s="1"/>
  <c r="H13" i="5"/>
  <c r="F47" i="5"/>
  <c r="F42" i="5"/>
  <c r="C24" i="5"/>
  <c r="E32" i="5" l="1"/>
  <c r="F32" i="5" s="1"/>
  <c r="F33" i="5" s="1"/>
  <c r="F35" i="5" s="1"/>
  <c r="F43" i="5" s="1"/>
  <c r="I32" i="5"/>
  <c r="J32" i="5" s="1"/>
  <c r="J33" i="5" s="1"/>
  <c r="J35" i="5" s="1"/>
  <c r="M32" i="5"/>
  <c r="N32" i="5" s="1"/>
  <c r="N33" i="5" s="1"/>
  <c r="N51" i="5"/>
  <c r="N52" i="5" s="1"/>
  <c r="J51" i="5"/>
  <c r="J52" i="5" s="1"/>
  <c r="F51" i="5"/>
  <c r="F52" i="5" s="1"/>
  <c r="N35" i="5" l="1"/>
  <c r="N53" i="5" s="1"/>
  <c r="N43" i="5"/>
  <c r="J43" i="5"/>
  <c r="J48" i="5"/>
  <c r="J38" i="5"/>
  <c r="J53" i="5"/>
  <c r="F53" i="5"/>
  <c r="F38" i="5"/>
  <c r="F48" i="5"/>
  <c r="N38" i="5" l="1"/>
  <c r="N48" i="5"/>
</calcChain>
</file>

<file path=xl/sharedStrings.xml><?xml version="1.0" encoding="utf-8"?>
<sst xmlns="http://schemas.openxmlformats.org/spreadsheetml/2006/main" count="292" uniqueCount="129">
  <si>
    <t>Dec '17E</t>
  </si>
  <si>
    <t>Dec '18E</t>
  </si>
  <si>
    <t>Dec '19E</t>
  </si>
  <si>
    <t>Dec '20E</t>
  </si>
  <si>
    <t>Dec '21E</t>
  </si>
  <si>
    <t>--</t>
  </si>
  <si>
    <t>Sales</t>
  </si>
  <si>
    <t>Income Statement (M)</t>
  </si>
  <si>
    <t>Cost of Sales</t>
  </si>
  <si>
    <t>Gross Income</t>
  </si>
  <si>
    <t>EBITDA</t>
  </si>
  <si>
    <t>Operating Income</t>
  </si>
  <si>
    <t>Pretax Income</t>
  </si>
  <si>
    <t>Tax Expense</t>
  </si>
  <si>
    <t>Net Income</t>
  </si>
  <si>
    <t>Cash Flow (M)</t>
  </si>
  <si>
    <t>Capital Expenditures</t>
  </si>
  <si>
    <t>Free Cash Flow</t>
  </si>
  <si>
    <t>Cash Flow from Operations</t>
  </si>
  <si>
    <t>Cash Flow from Investing</t>
  </si>
  <si>
    <t>Cash Flow from Financing</t>
  </si>
  <si>
    <t>Valuation</t>
  </si>
  <si>
    <t>Price/Earnings (x)</t>
  </si>
  <si>
    <t>PEG Ratio (x)</t>
  </si>
  <si>
    <t>Price/Book Value (x)</t>
  </si>
  <si>
    <t>Price/Cash Flow (x)</t>
  </si>
  <si>
    <t>Price/Sales (x)</t>
  </si>
  <si>
    <t>Enterprise Value/Sales (x)</t>
  </si>
  <si>
    <t>Enterprise Value/EBITDA (x)</t>
  </si>
  <si>
    <t>Enterprise Value/EBIT (x)</t>
  </si>
  <si>
    <t>Enterprise Value/FCF (x)</t>
  </si>
  <si>
    <t>Dividend Yield (%)</t>
  </si>
  <si>
    <t>Sales/Share (x)</t>
  </si>
  <si>
    <t>Intangible Assets</t>
  </si>
  <si>
    <t>Total Assets</t>
  </si>
  <si>
    <t>Current Assets</t>
  </si>
  <si>
    <t>Shareholder Equity</t>
  </si>
  <si>
    <t>Tax Estimator</t>
  </si>
  <si>
    <t>Pre-Tax NI</t>
  </si>
  <si>
    <t>TAX</t>
  </si>
  <si>
    <t>Avg Tax Rate</t>
  </si>
  <si>
    <t>Taxable Income Over</t>
  </si>
  <si>
    <t>But Not Over</t>
  </si>
  <si>
    <t>Tax Rate</t>
  </si>
  <si>
    <t>Tax in bracket</t>
  </si>
  <si>
    <t>Running Total</t>
  </si>
  <si>
    <t>EBIT</t>
  </si>
  <si>
    <t>Tax</t>
  </si>
  <si>
    <t>Base Year</t>
  </si>
  <si>
    <t>Target Multiple</t>
  </si>
  <si>
    <t>Year</t>
  </si>
  <si>
    <t>NOPLAT</t>
  </si>
  <si>
    <t>FCF</t>
  </si>
  <si>
    <t>CA</t>
  </si>
  <si>
    <t>CL</t>
  </si>
  <si>
    <t>EV/EBIT Multiple</t>
  </si>
  <si>
    <r>
      <t>DCF</t>
    </r>
    <r>
      <rPr>
        <b/>
        <vertAlign val="subscript"/>
        <sz val="11"/>
        <color theme="1"/>
        <rFont val="Calibri"/>
        <family val="2"/>
        <scheme val="minor"/>
      </rPr>
      <t>NOPLAT</t>
    </r>
  </si>
  <si>
    <r>
      <t>DCF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</si>
  <si>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NOPLAT</t>
    </r>
  </si>
  <si>
    <r>
      <t>∑ PV</t>
    </r>
    <r>
      <rPr>
        <b/>
        <vertAlign val="subscript"/>
        <sz val="11"/>
        <color theme="1"/>
        <rFont val="Calibri"/>
        <family val="2"/>
      </rPr>
      <t>NOPLAT</t>
    </r>
  </si>
  <si>
    <r>
      <t>PV</t>
    </r>
    <r>
      <rPr>
        <b/>
        <vertAlign val="subscript"/>
        <sz val="11"/>
        <color theme="1"/>
        <rFont val="Calibri"/>
        <family val="2"/>
      </rPr>
      <t>FCF</t>
    </r>
  </si>
  <si>
    <r>
      <t>∑ PV</t>
    </r>
    <r>
      <rPr>
        <b/>
        <vertAlign val="subscript"/>
        <sz val="11"/>
        <color theme="1"/>
        <rFont val="Calibri"/>
        <family val="2"/>
      </rPr>
      <t>FCF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</si>
  <si>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KVD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</si>
  <si>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</si>
  <si>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r>
      <t>MULTIPLE</t>
    </r>
    <r>
      <rPr>
        <b/>
        <vertAlign val="subscript"/>
        <sz val="11"/>
        <color theme="1"/>
        <rFont val="Calibri"/>
        <family val="2"/>
        <scheme val="minor"/>
      </rPr>
      <t>KVD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</si>
  <si>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Calculated using the KVD form for continuing value with no explicit period</t>
    </r>
  </si>
  <si>
    <r>
      <t>FCF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</si>
  <si>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EV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</si>
  <si>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Total common shares outstanding</t>
  </si>
  <si>
    <r>
      <t>WACC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</si>
  <si>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Consensus estimates for interest expense taken as difference between Operating Income and Pretax Income</t>
    </r>
  </si>
  <si>
    <t xml:space="preserve">   market value of the firm's long-term debt.  As such, this analysis uses a book value approach to enterprise value</t>
  </si>
  <si>
    <t>Market Cap - Common</t>
  </si>
  <si>
    <t>Calculations for illustrative purposes only and not intended to reflect actual or expected values</t>
  </si>
  <si>
    <t>Cosing share price</t>
  </si>
  <si>
    <t>Book Value Long-Term Debt</t>
  </si>
  <si>
    <t>Cash</t>
  </si>
  <si>
    <r>
      <rPr>
        <b/>
        <sz val="11"/>
        <color theme="1"/>
        <rFont val="Calibri"/>
        <family val="2"/>
        <scheme val="minor"/>
      </rPr>
      <t>Enterprise Value (EV)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</si>
  <si>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Dec '16</t>
  </si>
  <si>
    <r>
      <t>ROIC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</si>
  <si>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ROIC taken as NOPLAT/IC</t>
    </r>
  </si>
  <si>
    <r>
      <t>NOPLAT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</si>
  <si>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NOPLAT taken as EBIT x (1-T) with T = average tax rate on EBIT</t>
    </r>
  </si>
  <si>
    <r>
      <t xml:space="preserve">7 </t>
    </r>
    <r>
      <rPr>
        <sz val="11"/>
        <color theme="1"/>
        <rFont val="Calibri"/>
        <family val="2"/>
        <scheme val="minor"/>
      </rPr>
      <t>IC taken as FA + (CA - CL) = FA + NWC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</si>
  <si>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WACC taken as 7.8718% as noted in Bloomberg for Merit Medical as of 12/31/2016</t>
    </r>
  </si>
  <si>
    <r>
      <t>Observed Multiple</t>
    </r>
    <r>
      <rPr>
        <b/>
        <vertAlign val="superscript"/>
        <sz val="11"/>
        <color theme="1"/>
        <rFont val="Calibri"/>
        <family val="2"/>
        <scheme val="minor"/>
      </rPr>
      <t>9</t>
    </r>
  </si>
  <si>
    <r>
      <t>Target Multiple</t>
    </r>
    <r>
      <rPr>
        <b/>
        <vertAlign val="superscript"/>
        <sz val="11"/>
        <color theme="1"/>
        <rFont val="Calibri"/>
        <family val="2"/>
        <scheme val="minor"/>
      </rPr>
      <t>10</t>
    </r>
  </si>
  <si>
    <r>
      <t>KVD Multiple</t>
    </r>
    <r>
      <rPr>
        <b/>
        <vertAlign val="super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</si>
  <si>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Observed Multiple = EV/EBIT as of Base Year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</si>
  <si>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Target Multiple based on hypothetical exit multiple chosen with discretion</t>
    </r>
  </si>
  <si>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IR (Investment Rate) = Net Investment / NOPLAT = (∆IC + DEP)/NOPLAT </t>
    </r>
  </si>
  <si>
    <r>
      <t>IR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</si>
  <si>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r>
      <t>g</t>
    </r>
    <r>
      <rPr>
        <b/>
        <vertAlign val="superscript"/>
        <sz val="11"/>
        <color theme="1"/>
        <rFont val="Calibri"/>
        <family val="2"/>
        <scheme val="minor"/>
      </rPr>
      <t>13</t>
    </r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</si>
  <si>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g = IR x ROIC = (Net Investment/NOPLAT) x (NOPLAT / IC) = Net Investment / IC</t>
    </r>
  </si>
  <si>
    <t xml:space="preserve">   and includes the market capitalization of the firm's stock plus all liabilities, less cash and securities.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</si>
  <si>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EXPLICIT</t>
    </r>
    <r>
      <rPr>
        <b/>
        <vertAlign val="superscript"/>
        <sz val="11"/>
        <color theme="1"/>
        <rFont val="Calibri"/>
        <family val="2"/>
        <scheme val="minor"/>
      </rPr>
      <t>14</t>
    </r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</si>
  <si>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g</t>
    </r>
    <r>
      <rPr>
        <vertAlign val="subscript"/>
        <sz val="11"/>
        <color theme="1"/>
        <rFont val="Calibri"/>
        <family val="2"/>
        <scheme val="minor"/>
      </rPr>
      <t>EXPLICIT</t>
    </r>
    <r>
      <rPr>
        <sz val="11"/>
        <color theme="1"/>
        <rFont val="Calibri"/>
        <family val="2"/>
        <scheme val="minor"/>
      </rPr>
      <t xml:space="preserve"> is taken as the average annual change in EBIT for those years included in the analysis</t>
    </r>
  </si>
  <si>
    <t>Base  Year</t>
  </si>
  <si>
    <r>
      <t>IC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</si>
  <si>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Insufficient information is available through FactSet or the Whole Foods Annual Report to determine the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</si>
  <si>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</si>
  <si>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FMM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</si>
  <si>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KVD/NOPLAT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</si>
  <si>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NOPLAT/FMM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</si>
  <si>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DCF/FCF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</si>
  <si>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KVD/FCF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</si>
  <si>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</si>
  <si>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FCF/FMM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</si>
  <si>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KVD Multiple based on the McKensey &amp; Company KVD Model in which EV/EBIT = ((1-T)(1-g/ROIC))/(WACC - g)</t>
    </r>
  </si>
  <si>
    <t>Johnson &amp; Johnson</t>
  </si>
  <si>
    <t xml:space="preserve">JNJ   478160104   2475833   NYSE    Common stock    </t>
  </si>
  <si>
    <t>All Estimates in millions as appropriate</t>
  </si>
  <si>
    <t>Dec '22E</t>
  </si>
  <si>
    <t>Balance Sheet (M)</t>
  </si>
  <si>
    <t>Current Liabilities</t>
  </si>
  <si>
    <t>Total Debt</t>
  </si>
  <si>
    <t>Total Goodwill</t>
  </si>
  <si>
    <t>Net Debt</t>
  </si>
  <si>
    <t>Minority Interest</t>
  </si>
  <si>
    <t>Return on Assets (ROA) (%)</t>
  </si>
  <si>
    <t>Return on Equity (ROE) (%)</t>
  </si>
  <si>
    <t>Johnson and Johnson (JNJ)</t>
  </si>
  <si>
    <t>Illustration based on 2017-2021 Analyst Concensus Estimates and 2014-2016 values as reported by FactSet 4-25-2017</t>
  </si>
  <si>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Fixed Assets (FA) taken as Net Property Plants and Equipment</t>
    </r>
  </si>
  <si>
    <r>
      <t>FA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</si>
  <si>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FCF for 2021 estimated based on change in NOPLAT for two prior years</t>
    </r>
  </si>
  <si>
    <t>Depreciation &amp; Amortization</t>
  </si>
  <si>
    <t>Depreciation and Amortization</t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</si>
  <si>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g = Expected % ∆ GDP = 2.5%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</si>
</sst>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\-#,##0.0"/>
    <numFmt numFmtId="165" formatCode="0.00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996633"/>
      <name val="Arial"/>
      <family val="2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5">
    <xf numFmtId="0" fontId="0" fillId="0" borderId="0" xfId="0"/>
    <xf numFmtId="2" fontId="3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2" applyFont="1"/>
    <xf numFmtId="165" fontId="0" fillId="0" borderId="0" xfId="3" applyNumberFormat="1" applyFont="1"/>
    <xf numFmtId="43" fontId="0" fillId="0" borderId="0" xfId="2" applyFont="1" applyAlignment="1">
      <alignment horizontal="right"/>
    </xf>
    <xf numFmtId="0" fontId="1" fillId="0" borderId="0" xfId="0" applyFont="1" applyAlignment="1">
      <alignment horizontal="right" wrapText="1"/>
    </xf>
    <xf numFmtId="166" fontId="0" fillId="0" borderId="0" xfId="2" applyNumberFormat="1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10" fontId="0" fillId="0" borderId="0" xfId="3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3" fontId="0" fillId="0" borderId="0" xfId="2" applyFont="1" applyProtection="1">
      <protection locked="0"/>
    </xf>
    <xf numFmtId="9" fontId="0" fillId="0" borderId="0" xfId="3" applyFon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1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43" fontId="8" fillId="0" borderId="0" xfId="2" applyFont="1" applyProtection="1">
      <protection locked="0"/>
    </xf>
    <xf numFmtId="43" fontId="8" fillId="0" borderId="0" xfId="2" applyFont="1" applyFill="1" applyBorder="1" applyAlignment="1" applyProtection="1">
      <alignment horizontal="right"/>
      <protection locked="0"/>
    </xf>
    <xf numFmtId="10" fontId="8" fillId="0" borderId="0" xfId="3" applyNumberFormat="1" applyFont="1" applyProtection="1">
      <protection locked="0"/>
    </xf>
    <xf numFmtId="2" fontId="0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3" fontId="0" fillId="0" borderId="0" xfId="0" applyNumberFormat="1" applyProtection="1">
      <protection locked="0"/>
    </xf>
    <xf numFmtId="43" fontId="0" fillId="0" borderId="0" xfId="2" applyFont="1" applyProtection="1"/>
    <xf numFmtId="0" fontId="0" fillId="0" borderId="0" xfId="0" applyAlignment="1" applyProtection="1">
      <alignment horizontal="right"/>
      <protection locked="0"/>
    </xf>
    <xf numFmtId="10" fontId="0" fillId="0" borderId="0" xfId="3" applyNumberFormat="1" applyFont="1"/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3" fontId="0" fillId="0" borderId="0" xfId="4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3" fontId="0" fillId="0" borderId="0" xfId="4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3" fontId="0" fillId="0" borderId="0" xfId="2" applyFont="1" applyAlignment="1" applyProtection="1">
      <alignment vertical="center"/>
    </xf>
    <xf numFmtId="0" fontId="0" fillId="0" borderId="0" xfId="0" applyAlignment="1">
      <alignment vertical="center"/>
    </xf>
    <xf numFmtId="43" fontId="3" fillId="0" borderId="0" xfId="2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/>
    <xf numFmtId="0" fontId="0" fillId="0" borderId="0" xfId="0" applyFill="1"/>
    <xf numFmtId="43" fontId="0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66" fontId="4" fillId="0" borderId="0" xfId="2" applyNumberFormat="1" applyFont="1" applyFill="1" applyBorder="1" applyAlignment="1" applyProtection="1">
      <alignment horizontal="right"/>
    </xf>
    <xf numFmtId="166" fontId="3" fillId="0" borderId="0" xfId="2" applyNumberFormat="1" applyFont="1" applyFill="1" applyBorder="1" applyAlignment="1" applyProtection="1">
      <alignment horizontal="right"/>
    </xf>
    <xf numFmtId="0" fontId="8" fillId="0" borderId="0" xfId="0" applyFont="1"/>
    <xf numFmtId="166" fontId="8" fillId="0" borderId="0" xfId="2" applyNumberFormat="1" applyFont="1" applyAlignment="1">
      <alignment horizontal="right"/>
    </xf>
    <xf numFmtId="43" fontId="3" fillId="0" borderId="0" xfId="2" applyFont="1" applyFill="1" applyBorder="1" applyAlignment="1" applyProtection="1">
      <alignment horizontal="right"/>
    </xf>
    <xf numFmtId="166" fontId="8" fillId="0" borderId="0" xfId="2" applyNumberFormat="1" applyFont="1" applyFill="1" applyBorder="1" applyAlignment="1" applyProtection="1">
      <alignment horizontal="right"/>
      <protection locked="0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166" fontId="8" fillId="0" borderId="0" xfId="2" applyNumberFormat="1" applyFont="1" applyAlignment="1" applyProtection="1">
      <alignment horizontal="right"/>
      <protection locked="0"/>
    </xf>
    <xf numFmtId="166" fontId="3" fillId="0" borderId="0" xfId="2" applyNumberFormat="1" applyFont="1" applyAlignment="1" applyProtection="1">
      <protection locked="0"/>
    </xf>
    <xf numFmtId="166" fontId="0" fillId="0" borderId="0" xfId="2" applyNumberFormat="1" applyFont="1" applyAlignment="1" applyProtection="1">
      <alignment horizontal="right"/>
      <protection locked="0"/>
    </xf>
    <xf numFmtId="43" fontId="0" fillId="0" borderId="0" xfId="2" applyFont="1" applyAlignment="1" applyProtection="1">
      <alignment horizontal="right"/>
      <protection locked="0"/>
    </xf>
    <xf numFmtId="166" fontId="0" fillId="0" borderId="0" xfId="2" applyNumberFormat="1" applyFont="1" applyAlignment="1" applyProtection="1">
      <protection locked="0"/>
    </xf>
    <xf numFmtId="166" fontId="0" fillId="0" borderId="0" xfId="2" applyNumberFormat="1" applyFont="1" applyAlignment="1" applyProtection="1">
      <alignment vertical="center"/>
      <protection locked="0"/>
    </xf>
    <xf numFmtId="43" fontId="0" fillId="0" borderId="0" xfId="0" applyNumberFormat="1" applyFont="1" applyAlignment="1" applyProtection="1">
      <protection locked="0"/>
    </xf>
    <xf numFmtId="10" fontId="0" fillId="0" borderId="0" xfId="3" applyNumberFormat="1" applyFont="1" applyAlignment="1" applyProtection="1">
      <protection locked="0"/>
    </xf>
    <xf numFmtId="166" fontId="8" fillId="0" borderId="0" xfId="2" applyNumberFormat="1" applyFont="1" applyAlignment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5">
    <cellStyle name="Comma" xfId="2" builtinId="3"/>
    <cellStyle name="Currency" xfId="4" builtinId="4"/>
    <cellStyle name="Hyperlink" xfId="1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8"/>
  <sheetViews>
    <sheetView workbookViewId="0">
      <selection activeCell="L16" sqref="L16"/>
    </sheetView>
  </sheetViews>
  <sheetFormatPr defaultRowHeight="15" x14ac:dyDescent="0.25"/>
  <cols>
    <col min="1" max="1" width="30.7109375" customWidth="1"/>
    <col min="2" max="8" width="15.7109375" customWidth="1"/>
  </cols>
  <sheetData>
    <row r="1" spans="1:8" ht="15.95" customHeight="1" x14ac:dyDescent="0.25">
      <c r="A1" s="68" t="s">
        <v>109</v>
      </c>
      <c r="B1" s="68"/>
      <c r="C1" s="68"/>
      <c r="D1" s="68"/>
      <c r="E1" s="68"/>
      <c r="F1" s="68"/>
      <c r="G1" s="68"/>
      <c r="H1" s="68"/>
    </row>
    <row r="2" spans="1:8" ht="15.95" customHeight="1" x14ac:dyDescent="0.25">
      <c r="A2" s="68" t="s">
        <v>110</v>
      </c>
      <c r="B2" s="68"/>
      <c r="C2" s="68"/>
      <c r="D2" s="68"/>
      <c r="E2" s="68"/>
      <c r="F2" s="68"/>
      <c r="G2" s="68"/>
      <c r="H2" s="68"/>
    </row>
    <row r="3" spans="1:8" ht="15.95" customHeight="1" x14ac:dyDescent="0.25">
      <c r="A3" s="68" t="s">
        <v>111</v>
      </c>
      <c r="B3" s="68"/>
      <c r="C3" s="68"/>
      <c r="D3" s="68"/>
      <c r="E3" s="68"/>
      <c r="F3" s="68"/>
      <c r="G3" s="68"/>
      <c r="H3" s="68"/>
    </row>
    <row r="4" spans="1:8" ht="12.6" customHeight="1" x14ac:dyDescent="0.25">
      <c r="A4" s="1"/>
      <c r="B4" s="1"/>
      <c r="C4" s="1"/>
      <c r="D4" s="1"/>
      <c r="E4" s="1"/>
      <c r="F4" s="1"/>
      <c r="G4" s="1"/>
      <c r="H4" s="1"/>
    </row>
    <row r="5" spans="1:8" ht="15.95" customHeight="1" x14ac:dyDescent="0.25">
      <c r="A5" s="2" t="s">
        <v>7</v>
      </c>
      <c r="B5" s="1"/>
      <c r="C5" s="1"/>
      <c r="D5" s="1"/>
      <c r="E5" s="1"/>
      <c r="F5" s="1"/>
      <c r="G5" s="1"/>
      <c r="H5" s="1"/>
    </row>
    <row r="6" spans="1:8" ht="15.95" customHeight="1" x14ac:dyDescent="0.25">
      <c r="A6" s="1"/>
      <c r="B6" s="52" t="s">
        <v>78</v>
      </c>
      <c r="C6" s="52" t="s">
        <v>0</v>
      </c>
      <c r="D6" s="52" t="s">
        <v>1</v>
      </c>
      <c r="E6" s="52" t="s">
        <v>2</v>
      </c>
      <c r="F6" s="52" t="s">
        <v>3</v>
      </c>
      <c r="G6" s="52" t="s">
        <v>4</v>
      </c>
      <c r="H6" s="52" t="s">
        <v>112</v>
      </c>
    </row>
    <row r="7" spans="1:8" ht="15.95" customHeight="1" x14ac:dyDescent="0.25">
      <c r="A7" s="1" t="s">
        <v>6</v>
      </c>
      <c r="B7" s="53">
        <v>71890</v>
      </c>
      <c r="C7" s="53">
        <v>75533.2</v>
      </c>
      <c r="D7" s="53">
        <v>79377.100000000006</v>
      </c>
      <c r="E7" s="53">
        <v>82574</v>
      </c>
      <c r="F7" s="53">
        <v>84518.399999999994</v>
      </c>
      <c r="G7" s="53">
        <v>88484.2</v>
      </c>
      <c r="H7" s="53">
        <v>89966.5</v>
      </c>
    </row>
    <row r="8" spans="1:8" ht="15.95" customHeight="1" x14ac:dyDescent="0.25">
      <c r="A8" s="1" t="s">
        <v>8</v>
      </c>
      <c r="B8" s="53">
        <v>21640</v>
      </c>
      <c r="C8" s="53">
        <v>22684.1</v>
      </c>
      <c r="D8" s="53">
        <v>23525.1</v>
      </c>
      <c r="E8" s="53">
        <v>24285.8</v>
      </c>
      <c r="F8" s="53">
        <v>24814.1</v>
      </c>
      <c r="G8" s="53">
        <v>25687</v>
      </c>
      <c r="H8" s="53">
        <v>25251</v>
      </c>
    </row>
    <row r="9" spans="1:8" ht="15.95" customHeight="1" x14ac:dyDescent="0.25">
      <c r="A9" s="1" t="s">
        <v>9</v>
      </c>
      <c r="B9" s="53">
        <v>50250</v>
      </c>
      <c r="C9" s="53">
        <v>53158.3</v>
      </c>
      <c r="D9" s="53">
        <v>56026.9</v>
      </c>
      <c r="E9" s="53">
        <v>58168.6</v>
      </c>
      <c r="F9" s="53">
        <v>59233.5</v>
      </c>
      <c r="G9" s="53">
        <v>62729.4</v>
      </c>
      <c r="H9" s="53">
        <v>58739</v>
      </c>
    </row>
    <row r="10" spans="1:8" ht="15.95" customHeight="1" x14ac:dyDescent="0.25">
      <c r="A10" s="1" t="s">
        <v>10</v>
      </c>
      <c r="B10" s="53">
        <v>25829</v>
      </c>
      <c r="C10" s="53">
        <v>26927.599999999999</v>
      </c>
      <c r="D10" s="53">
        <v>29183.7</v>
      </c>
      <c r="E10" s="53">
        <v>30755.1</v>
      </c>
      <c r="F10" s="53">
        <v>31898.799999999999</v>
      </c>
      <c r="G10" s="53">
        <v>36015.300000000003</v>
      </c>
      <c r="H10" s="53" t="s">
        <v>5</v>
      </c>
    </row>
    <row r="11" spans="1:8" ht="15.95" customHeight="1" x14ac:dyDescent="0.25">
      <c r="A11" s="1" t="s">
        <v>127</v>
      </c>
      <c r="B11" s="53">
        <f>B10-B12</f>
        <v>3348</v>
      </c>
      <c r="C11" s="53">
        <f t="shared" ref="C11:G11" si="0">C10-C12</f>
        <v>3557.0999999999985</v>
      </c>
      <c r="D11" s="53">
        <f t="shared" si="0"/>
        <v>3847.2999999999993</v>
      </c>
      <c r="E11" s="53">
        <f t="shared" si="0"/>
        <v>3940.7999999999993</v>
      </c>
      <c r="F11" s="53">
        <f t="shared" si="0"/>
        <v>3473.7999999999993</v>
      </c>
      <c r="G11" s="53">
        <f t="shared" si="0"/>
        <v>5922.5000000000036</v>
      </c>
      <c r="H11" s="53"/>
    </row>
    <row r="12" spans="1:8" x14ac:dyDescent="0.25">
      <c r="A12" s="1" t="s">
        <v>11</v>
      </c>
      <c r="B12" s="53">
        <v>22481</v>
      </c>
      <c r="C12" s="53">
        <v>23370.5</v>
      </c>
      <c r="D12" s="53">
        <v>25336.400000000001</v>
      </c>
      <c r="E12" s="53">
        <v>26814.3</v>
      </c>
      <c r="F12" s="53">
        <v>28425</v>
      </c>
      <c r="G12" s="53">
        <v>30092.799999999999</v>
      </c>
      <c r="H12" s="53">
        <v>26047</v>
      </c>
    </row>
    <row r="13" spans="1:8" x14ac:dyDescent="0.25">
      <c r="A13" s="1" t="s">
        <v>12</v>
      </c>
      <c r="B13" s="53">
        <v>22759</v>
      </c>
      <c r="C13" s="53">
        <v>23712.3</v>
      </c>
      <c r="D13" s="53">
        <v>25308.1</v>
      </c>
      <c r="E13" s="53">
        <v>26907.3</v>
      </c>
      <c r="F13" s="53">
        <v>28594.6</v>
      </c>
      <c r="G13" s="53">
        <v>30824.6</v>
      </c>
      <c r="H13" s="53">
        <v>28131</v>
      </c>
    </row>
    <row r="14" spans="1:8" x14ac:dyDescent="0.25">
      <c r="A14" s="1" t="s">
        <v>13</v>
      </c>
      <c r="B14" s="53">
        <v>3995</v>
      </c>
      <c r="C14" s="53">
        <v>4552</v>
      </c>
      <c r="D14" s="53">
        <v>4775.29</v>
      </c>
      <c r="E14" s="53">
        <v>5031.6400000000003</v>
      </c>
      <c r="F14" s="53">
        <v>5297.75</v>
      </c>
      <c r="G14" s="53">
        <v>5837</v>
      </c>
      <c r="H14" s="53">
        <v>5409</v>
      </c>
    </row>
    <row r="15" spans="1:8" x14ac:dyDescent="0.25">
      <c r="A15" s="1" t="s">
        <v>14</v>
      </c>
      <c r="B15" s="53">
        <v>18764</v>
      </c>
      <c r="C15" s="53">
        <v>19496.7</v>
      </c>
      <c r="D15" s="53">
        <v>20896.900000000001</v>
      </c>
      <c r="E15" s="53">
        <v>22176.799999999999</v>
      </c>
      <c r="F15" s="53">
        <v>23148.9</v>
      </c>
      <c r="G15" s="53">
        <v>24877.4</v>
      </c>
      <c r="H15" s="53">
        <v>22505</v>
      </c>
    </row>
    <row r="16" spans="1:8" x14ac:dyDescent="0.25">
      <c r="A16" s="54"/>
      <c r="B16" s="55"/>
      <c r="C16" s="55"/>
      <c r="D16" s="55"/>
      <c r="E16" s="55"/>
      <c r="F16" s="55"/>
      <c r="G16" s="55"/>
      <c r="H16" s="55"/>
    </row>
    <row r="17" spans="1:8" x14ac:dyDescent="0.25">
      <c r="A17" s="2" t="s">
        <v>113</v>
      </c>
      <c r="B17" s="53"/>
      <c r="C17" s="53"/>
      <c r="D17" s="53"/>
      <c r="E17" s="53"/>
      <c r="F17" s="53"/>
      <c r="G17" s="53"/>
      <c r="H17" s="53"/>
    </row>
    <row r="18" spans="1:8" x14ac:dyDescent="0.25">
      <c r="A18" s="1" t="s">
        <v>35</v>
      </c>
      <c r="B18" s="53">
        <v>65736</v>
      </c>
      <c r="C18" s="53">
        <v>49395.8</v>
      </c>
      <c r="D18" s="53">
        <v>54668.800000000003</v>
      </c>
      <c r="E18" s="53">
        <v>67050</v>
      </c>
      <c r="F18" s="53">
        <v>69034.5</v>
      </c>
      <c r="G18" s="53">
        <v>79819.5</v>
      </c>
      <c r="H18" s="53">
        <v>92104</v>
      </c>
    </row>
    <row r="19" spans="1:8" x14ac:dyDescent="0.25">
      <c r="A19" s="1" t="s">
        <v>114</v>
      </c>
      <c r="B19" s="53">
        <v>25016</v>
      </c>
      <c r="C19" s="53">
        <v>25511.4</v>
      </c>
      <c r="D19" s="53">
        <v>26419.4</v>
      </c>
      <c r="E19" s="53">
        <v>26508</v>
      </c>
      <c r="F19" s="53">
        <v>27022.5</v>
      </c>
      <c r="G19" s="53">
        <v>27359</v>
      </c>
      <c r="H19" s="53">
        <v>22962</v>
      </c>
    </row>
    <row r="20" spans="1:8" x14ac:dyDescent="0.25">
      <c r="A20" s="1" t="s">
        <v>34</v>
      </c>
      <c r="B20" s="53">
        <v>142646</v>
      </c>
      <c r="C20" s="53">
        <v>142604</v>
      </c>
      <c r="D20" s="53">
        <v>148886</v>
      </c>
      <c r="E20" s="53">
        <v>158505</v>
      </c>
      <c r="F20" s="53">
        <v>157620</v>
      </c>
      <c r="G20" s="53">
        <v>167513</v>
      </c>
      <c r="H20" s="53">
        <v>163757</v>
      </c>
    </row>
    <row r="21" spans="1:8" x14ac:dyDescent="0.25">
      <c r="A21" s="1" t="s">
        <v>115</v>
      </c>
      <c r="B21" s="53" t="s">
        <v>5</v>
      </c>
      <c r="C21" s="53" t="s">
        <v>5</v>
      </c>
      <c r="D21" s="53">
        <v>26898</v>
      </c>
      <c r="E21" s="53">
        <v>26898</v>
      </c>
      <c r="F21" s="53">
        <v>26898</v>
      </c>
      <c r="G21" s="53" t="s">
        <v>5</v>
      </c>
      <c r="H21" s="53" t="s">
        <v>5</v>
      </c>
    </row>
    <row r="22" spans="1:8" x14ac:dyDescent="0.25">
      <c r="A22" s="1" t="s">
        <v>33</v>
      </c>
      <c r="B22" s="53">
        <v>24909</v>
      </c>
      <c r="C22" s="53">
        <v>25509.5</v>
      </c>
      <c r="D22" s="53">
        <v>24161.5</v>
      </c>
      <c r="E22" s="53">
        <v>22831.5</v>
      </c>
      <c r="F22" s="53">
        <v>20876</v>
      </c>
      <c r="G22" s="53">
        <v>19376</v>
      </c>
      <c r="H22" s="53" t="s">
        <v>5</v>
      </c>
    </row>
    <row r="23" spans="1:8" x14ac:dyDescent="0.25">
      <c r="A23" s="1" t="s">
        <v>116</v>
      </c>
      <c r="B23" s="53">
        <v>22844</v>
      </c>
      <c r="C23" s="53">
        <v>37031</v>
      </c>
      <c r="D23" s="53">
        <v>37031</v>
      </c>
      <c r="E23" s="53">
        <v>32734</v>
      </c>
      <c r="F23" s="53">
        <v>52592</v>
      </c>
      <c r="G23" s="53">
        <v>52592</v>
      </c>
      <c r="H23" s="53" t="s">
        <v>5</v>
      </c>
    </row>
    <row r="24" spans="1:8" x14ac:dyDescent="0.25">
      <c r="A24" s="1" t="s">
        <v>117</v>
      </c>
      <c r="B24" s="53">
        <v>-16627</v>
      </c>
      <c r="C24" s="53">
        <v>-16335</v>
      </c>
      <c r="D24" s="53">
        <v>-3865.65</v>
      </c>
      <c r="E24" s="53">
        <v>-13737.1</v>
      </c>
      <c r="F24" s="53">
        <v>-19951.8</v>
      </c>
      <c r="G24" s="53">
        <v>-21209</v>
      </c>
      <c r="H24" s="53" t="s">
        <v>5</v>
      </c>
    </row>
    <row r="25" spans="1:8" x14ac:dyDescent="0.25">
      <c r="A25" s="1" t="s">
        <v>118</v>
      </c>
      <c r="B25" s="53">
        <v>0</v>
      </c>
      <c r="C25" s="53">
        <v>0</v>
      </c>
      <c r="D25" s="53">
        <v>0</v>
      </c>
      <c r="E25" s="53">
        <v>0</v>
      </c>
      <c r="F25" s="53" t="s">
        <v>5</v>
      </c>
      <c r="G25" s="53" t="s">
        <v>5</v>
      </c>
      <c r="H25" s="53" t="s">
        <v>5</v>
      </c>
    </row>
    <row r="26" spans="1:8" x14ac:dyDescent="0.25">
      <c r="A26" s="1" t="s">
        <v>36</v>
      </c>
      <c r="B26" s="53">
        <v>75984</v>
      </c>
      <c r="C26" s="53">
        <v>72451.600000000006</v>
      </c>
      <c r="D26" s="53">
        <v>77731.7</v>
      </c>
      <c r="E26" s="53">
        <v>86086.1</v>
      </c>
      <c r="F26" s="53">
        <v>99585</v>
      </c>
      <c r="G26" s="53">
        <v>101833</v>
      </c>
      <c r="H26" s="53">
        <v>113191</v>
      </c>
    </row>
    <row r="27" spans="1:8" x14ac:dyDescent="0.25">
      <c r="A27" s="54"/>
      <c r="B27" s="55"/>
      <c r="C27" s="55"/>
      <c r="D27" s="55"/>
      <c r="E27" s="55"/>
      <c r="F27" s="55"/>
      <c r="G27" s="55"/>
      <c r="H27" s="55"/>
    </row>
    <row r="28" spans="1:8" x14ac:dyDescent="0.25">
      <c r="A28" s="2" t="s">
        <v>15</v>
      </c>
      <c r="B28" s="53"/>
      <c r="C28" s="53"/>
      <c r="D28" s="53"/>
      <c r="E28" s="53"/>
      <c r="F28" s="53"/>
      <c r="G28" s="53"/>
      <c r="H28" s="53"/>
    </row>
    <row r="29" spans="1:8" x14ac:dyDescent="0.25">
      <c r="A29" s="1" t="s">
        <v>16</v>
      </c>
      <c r="B29" s="53">
        <v>3584.44</v>
      </c>
      <c r="C29" s="53">
        <v>3551.25</v>
      </c>
      <c r="D29" s="53">
        <v>3651.72</v>
      </c>
      <c r="E29" s="53">
        <v>3656.89</v>
      </c>
      <c r="F29" s="53">
        <v>3690.07</v>
      </c>
      <c r="G29" s="53">
        <v>3601.5</v>
      </c>
      <c r="H29" s="53">
        <v>3769</v>
      </c>
    </row>
    <row r="30" spans="1:8" x14ac:dyDescent="0.25">
      <c r="A30" s="1" t="s">
        <v>17</v>
      </c>
      <c r="B30" s="53">
        <v>14601</v>
      </c>
      <c r="C30" s="53">
        <v>18619.900000000001</v>
      </c>
      <c r="D30" s="53">
        <v>20908.900000000001</v>
      </c>
      <c r="E30" s="53">
        <v>22644</v>
      </c>
      <c r="F30" s="53" t="s">
        <v>5</v>
      </c>
      <c r="G30" s="53" t="s">
        <v>5</v>
      </c>
      <c r="H30" s="53" t="s">
        <v>5</v>
      </c>
    </row>
    <row r="31" spans="1:8" x14ac:dyDescent="0.25">
      <c r="A31" s="1" t="s">
        <v>18</v>
      </c>
      <c r="B31" s="53">
        <v>19016.5</v>
      </c>
      <c r="C31" s="53">
        <v>22023.5</v>
      </c>
      <c r="D31" s="53">
        <v>24463</v>
      </c>
      <c r="E31" s="53">
        <v>26224</v>
      </c>
      <c r="F31" s="53">
        <v>26926.5</v>
      </c>
      <c r="G31" s="53">
        <v>28148</v>
      </c>
      <c r="H31" s="53">
        <v>26099</v>
      </c>
    </row>
    <row r="32" spans="1:8" x14ac:dyDescent="0.25">
      <c r="A32" s="1" t="s">
        <v>19</v>
      </c>
      <c r="B32" s="53">
        <v>-3238.5</v>
      </c>
      <c r="C32" s="53">
        <v>-23511</v>
      </c>
      <c r="D32" s="53">
        <v>-3554.6</v>
      </c>
      <c r="E32" s="53">
        <v>-3478.25</v>
      </c>
      <c r="F32" s="53">
        <v>-3574.5</v>
      </c>
      <c r="G32" s="53">
        <v>-3601.5</v>
      </c>
      <c r="H32" s="53">
        <v>-3769</v>
      </c>
    </row>
    <row r="33" spans="1:8" x14ac:dyDescent="0.25">
      <c r="A33" s="1" t="s">
        <v>20</v>
      </c>
      <c r="B33" s="53">
        <v>-11041.5</v>
      </c>
      <c r="C33" s="53">
        <v>-10189.200000000001</v>
      </c>
      <c r="D33" s="53">
        <v>-15773.4</v>
      </c>
      <c r="E33" s="53">
        <v>-13962</v>
      </c>
      <c r="F33" s="53">
        <v>-13957.5</v>
      </c>
      <c r="G33" s="53">
        <v>-14684</v>
      </c>
      <c r="H33" s="53">
        <v>-11502</v>
      </c>
    </row>
    <row r="34" spans="1:8" x14ac:dyDescent="0.25">
      <c r="A34" s="54"/>
      <c r="B34" s="55"/>
      <c r="C34" s="55"/>
      <c r="D34" s="55"/>
      <c r="E34" s="55"/>
      <c r="F34" s="55"/>
      <c r="G34" s="55"/>
      <c r="H34" s="55"/>
    </row>
    <row r="35" spans="1:8" x14ac:dyDescent="0.25">
      <c r="A35" s="2" t="s">
        <v>21</v>
      </c>
      <c r="B35" s="53"/>
      <c r="C35" s="53"/>
      <c r="D35" s="53"/>
      <c r="E35" s="53"/>
      <c r="F35" s="53"/>
      <c r="G35" s="53"/>
      <c r="H35" s="53"/>
    </row>
    <row r="36" spans="1:8" x14ac:dyDescent="0.25">
      <c r="A36" s="1" t="s">
        <v>22</v>
      </c>
      <c r="B36" s="56">
        <v>17.1189</v>
      </c>
      <c r="C36" s="56">
        <v>17.395199999999999</v>
      </c>
      <c r="D36" s="56">
        <v>16.127800000000001</v>
      </c>
      <c r="E36" s="56">
        <v>15.201000000000001</v>
      </c>
      <c r="F36" s="56">
        <v>14.3766</v>
      </c>
      <c r="G36" s="56">
        <v>13.083500000000001</v>
      </c>
      <c r="H36" s="56">
        <v>14.943099999999999</v>
      </c>
    </row>
    <row r="37" spans="1:8" x14ac:dyDescent="0.25">
      <c r="A37" s="1" t="s">
        <v>23</v>
      </c>
      <c r="B37" s="56">
        <v>3.0710700000000002</v>
      </c>
      <c r="C37" s="56">
        <v>3.1206399999999999</v>
      </c>
      <c r="D37" s="56">
        <v>2.8932799999999999</v>
      </c>
      <c r="E37" s="56">
        <v>2.7270099999999999</v>
      </c>
      <c r="F37" s="56">
        <v>2.57911</v>
      </c>
      <c r="G37" s="56">
        <v>2.34714</v>
      </c>
      <c r="H37" s="56">
        <v>2.6807400000000001</v>
      </c>
    </row>
    <row r="38" spans="1:8" x14ac:dyDescent="0.25">
      <c r="A38" s="1" t="s">
        <v>24</v>
      </c>
      <c r="B38" s="56">
        <v>4.2053799999999999</v>
      </c>
      <c r="C38" s="56">
        <v>5.2196499999999997</v>
      </c>
      <c r="D38" s="56">
        <v>4.6428799999999999</v>
      </c>
      <c r="E38" s="56">
        <v>4.1076800000000002</v>
      </c>
      <c r="F38" s="56">
        <v>2.9888300000000001</v>
      </c>
      <c r="G38" s="56" t="s">
        <v>5</v>
      </c>
      <c r="H38" s="56" t="s">
        <v>5</v>
      </c>
    </row>
    <row r="39" spans="1:8" x14ac:dyDescent="0.25">
      <c r="A39" s="1" t="s">
        <v>25</v>
      </c>
      <c r="B39" s="56">
        <v>17.8066</v>
      </c>
      <c r="C39" s="56">
        <v>15.8523</v>
      </c>
      <c r="D39" s="56">
        <v>13.7783</v>
      </c>
      <c r="E39" s="56">
        <v>12.602600000000001</v>
      </c>
      <c r="F39" s="56">
        <v>10.678800000000001</v>
      </c>
      <c r="G39" s="56" t="s">
        <v>5</v>
      </c>
      <c r="H39" s="56" t="s">
        <v>5</v>
      </c>
    </row>
    <row r="40" spans="1:8" x14ac:dyDescent="0.25">
      <c r="A40" s="1" t="s">
        <v>26</v>
      </c>
      <c r="B40" s="56">
        <v>4.35989</v>
      </c>
      <c r="C40" s="56">
        <v>4.4299099999999996</v>
      </c>
      <c r="D40" s="56">
        <v>4.2153900000000002</v>
      </c>
      <c r="E40" s="56">
        <v>4.0521900000000004</v>
      </c>
      <c r="F40" s="56">
        <v>3.9589699999999999</v>
      </c>
      <c r="G40" s="56">
        <v>3.7815300000000001</v>
      </c>
      <c r="H40" s="56">
        <v>3.71922</v>
      </c>
    </row>
    <row r="41" spans="1:8" x14ac:dyDescent="0.25">
      <c r="A41" s="1" t="s">
        <v>27</v>
      </c>
      <c r="B41" s="56">
        <v>4.1286100000000001</v>
      </c>
      <c r="C41" s="56">
        <v>4.2136500000000003</v>
      </c>
      <c r="D41" s="56">
        <v>4.16669</v>
      </c>
      <c r="E41" s="56">
        <v>3.8858299999999999</v>
      </c>
      <c r="F41" s="56">
        <v>3.7229000000000001</v>
      </c>
      <c r="G41" s="56">
        <v>3.5418400000000001</v>
      </c>
      <c r="H41" s="56" t="s">
        <v>5</v>
      </c>
    </row>
    <row r="42" spans="1:8" x14ac:dyDescent="0.25">
      <c r="A42" s="1" t="s">
        <v>28</v>
      </c>
      <c r="B42" s="56">
        <v>11.491199999999999</v>
      </c>
      <c r="C42" s="56">
        <v>11.8195</v>
      </c>
      <c r="D42" s="56">
        <v>11.333</v>
      </c>
      <c r="E42" s="56">
        <v>10.433</v>
      </c>
      <c r="F42" s="56">
        <v>9.8641100000000002</v>
      </c>
      <c r="G42" s="56">
        <v>8.7017500000000005</v>
      </c>
      <c r="H42" s="56" t="s">
        <v>5</v>
      </c>
    </row>
    <row r="43" spans="1:8" x14ac:dyDescent="0.25">
      <c r="A43" s="1" t="s">
        <v>29</v>
      </c>
      <c r="B43" s="56">
        <v>13.202500000000001</v>
      </c>
      <c r="C43" s="56">
        <v>13.618499999999999</v>
      </c>
      <c r="D43" s="56">
        <v>13.053900000000001</v>
      </c>
      <c r="E43" s="56">
        <v>11.9663</v>
      </c>
      <c r="F43" s="56">
        <v>11.069599999999999</v>
      </c>
      <c r="G43" s="56">
        <v>10.414300000000001</v>
      </c>
      <c r="H43" s="56" t="s">
        <v>5</v>
      </c>
    </row>
    <row r="44" spans="1:8" x14ac:dyDescent="0.25">
      <c r="A44" s="1" t="s">
        <v>30</v>
      </c>
      <c r="B44" s="56">
        <v>20.3277</v>
      </c>
      <c r="C44" s="56">
        <v>17.093</v>
      </c>
      <c r="D44" s="56">
        <v>15.818099999999999</v>
      </c>
      <c r="E44" s="56">
        <v>14.1701</v>
      </c>
      <c r="F44" s="56" t="s">
        <v>5</v>
      </c>
      <c r="G44" s="56" t="s">
        <v>5</v>
      </c>
      <c r="H44" s="56" t="s">
        <v>5</v>
      </c>
    </row>
    <row r="45" spans="1:8" x14ac:dyDescent="0.25">
      <c r="A45" s="1" t="s">
        <v>31</v>
      </c>
      <c r="B45" s="56">
        <v>2.73414</v>
      </c>
      <c r="C45" s="56">
        <v>2.7156099999999999</v>
      </c>
      <c r="D45" s="56">
        <v>2.8898700000000002</v>
      </c>
      <c r="E45" s="56">
        <v>3.0815100000000002</v>
      </c>
      <c r="F45" s="56">
        <v>3.1580699999999999</v>
      </c>
      <c r="G45" s="56">
        <v>3.34063</v>
      </c>
      <c r="H45" s="56">
        <v>3.4189400000000001</v>
      </c>
    </row>
    <row r="46" spans="1:8" x14ac:dyDescent="0.25">
      <c r="A46" s="1" t="s">
        <v>32</v>
      </c>
      <c r="B46" s="56">
        <v>26.425000000000001</v>
      </c>
      <c r="C46" s="56">
        <v>27.8628</v>
      </c>
      <c r="D46" s="56">
        <v>29.280799999999999</v>
      </c>
      <c r="E46" s="56">
        <v>30.460100000000001</v>
      </c>
      <c r="F46" s="56">
        <v>31.177299999999999</v>
      </c>
      <c r="G46" s="56">
        <v>32.6402</v>
      </c>
      <c r="H46" s="56">
        <v>33.186999999999998</v>
      </c>
    </row>
    <row r="47" spans="1:8" x14ac:dyDescent="0.25">
      <c r="A47" s="1" t="s">
        <v>119</v>
      </c>
      <c r="B47" s="56">
        <v>13.154199999999999</v>
      </c>
      <c r="C47" s="56">
        <v>13.671900000000001</v>
      </c>
      <c r="D47" s="56">
        <v>14.035600000000001</v>
      </c>
      <c r="E47" s="56">
        <v>13.991199999999999</v>
      </c>
      <c r="F47" s="56">
        <v>14.686500000000001</v>
      </c>
      <c r="G47" s="56">
        <v>14.851000000000001</v>
      </c>
      <c r="H47" s="56">
        <v>13.742900000000001</v>
      </c>
    </row>
    <row r="48" spans="1:8" x14ac:dyDescent="0.25">
      <c r="A48" s="1" t="s">
        <v>120</v>
      </c>
      <c r="B48" s="56">
        <v>24.565799999999999</v>
      </c>
      <c r="C48" s="56">
        <v>30.0063</v>
      </c>
      <c r="D48" s="56">
        <v>28.788</v>
      </c>
      <c r="E48" s="56">
        <v>27.022400000000001</v>
      </c>
      <c r="F48" s="56">
        <v>20.7895</v>
      </c>
      <c r="G48" s="56" t="s">
        <v>5</v>
      </c>
      <c r="H48" s="56" t="s">
        <v>5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0"/>
  <sheetViews>
    <sheetView tabSelected="1" workbookViewId="0">
      <selection activeCell="C8" sqref="C8"/>
    </sheetView>
  </sheetViews>
  <sheetFormatPr defaultRowHeight="15" x14ac:dyDescent="0.25"/>
  <cols>
    <col min="3" max="3" width="18" bestFit="1" customWidth="1"/>
    <col min="4" max="4" width="16.85546875" bestFit="1" customWidth="1"/>
    <col min="5" max="5" width="15.7109375" customWidth="1"/>
    <col min="6" max="7" width="16.85546875" bestFit="1" customWidth="1"/>
  </cols>
  <sheetData>
    <row r="3" spans="3:13" x14ac:dyDescent="0.25">
      <c r="C3" s="69" t="s">
        <v>37</v>
      </c>
      <c r="D3" s="69"/>
      <c r="E3" s="69"/>
      <c r="F3" s="69"/>
      <c r="G3" s="69"/>
    </row>
    <row r="6" spans="3:13" x14ac:dyDescent="0.25">
      <c r="C6" s="6" t="s">
        <v>38</v>
      </c>
      <c r="D6" s="6" t="s">
        <v>39</v>
      </c>
      <c r="E6" s="6" t="s">
        <v>40</v>
      </c>
    </row>
    <row r="7" spans="3:13" x14ac:dyDescent="0.25">
      <c r="C7" s="7">
        <v>20929000000</v>
      </c>
      <c r="D7" s="8">
        <f>MAX(G13:G20)</f>
        <v>7325149999.9899998</v>
      </c>
      <c r="E7" s="9">
        <f>D7/C7</f>
        <v>0.34999999999952219</v>
      </c>
    </row>
    <row r="9" spans="3:13" x14ac:dyDescent="0.25">
      <c r="C9" s="7"/>
      <c r="D9" s="7"/>
      <c r="E9" s="7"/>
      <c r="F9" s="10"/>
      <c r="G9" s="8"/>
    </row>
    <row r="10" spans="3:13" x14ac:dyDescent="0.25">
      <c r="C10" s="7"/>
      <c r="D10" s="7"/>
      <c r="E10" s="7"/>
      <c r="F10" s="7"/>
      <c r="G10" s="7"/>
    </row>
    <row r="11" spans="3:13" ht="30" x14ac:dyDescent="0.25">
      <c r="C11" s="11" t="s">
        <v>41</v>
      </c>
      <c r="D11" s="11" t="s">
        <v>42</v>
      </c>
      <c r="E11" s="11" t="s">
        <v>43</v>
      </c>
      <c r="F11" s="11" t="s">
        <v>44</v>
      </c>
      <c r="G11" s="11" t="s">
        <v>45</v>
      </c>
      <c r="K11" s="6" t="s">
        <v>46</v>
      </c>
      <c r="L11" s="6" t="s">
        <v>43</v>
      </c>
      <c r="M11" s="6" t="s">
        <v>47</v>
      </c>
    </row>
    <row r="12" spans="3:13" x14ac:dyDescent="0.25">
      <c r="J12" s="5">
        <v>2015</v>
      </c>
      <c r="K12" s="3">
        <v>42.211500000000001</v>
      </c>
      <c r="L12">
        <v>0.35</v>
      </c>
      <c r="M12" s="8">
        <f>K12*L12</f>
        <v>14.774025</v>
      </c>
    </row>
    <row r="13" spans="3:13" x14ac:dyDescent="0.25">
      <c r="C13" s="12">
        <v>0</v>
      </c>
      <c r="D13" s="12">
        <v>50000</v>
      </c>
      <c r="E13">
        <v>0.15</v>
      </c>
      <c r="F13" s="8">
        <f>IF(C7&gt;=D13, D13*E13, C$7*E13)</f>
        <v>7500</v>
      </c>
      <c r="G13" s="8">
        <f>F13</f>
        <v>7500</v>
      </c>
      <c r="J13" s="5">
        <v>2016</v>
      </c>
      <c r="K13" s="4">
        <v>69.2667</v>
      </c>
      <c r="L13">
        <v>0.35</v>
      </c>
      <c r="M13" s="8">
        <f>K13*L13</f>
        <v>24.243344999999998</v>
      </c>
    </row>
    <row r="14" spans="3:13" x14ac:dyDescent="0.25">
      <c r="C14" s="12">
        <v>50001</v>
      </c>
      <c r="D14" s="12">
        <v>75000</v>
      </c>
      <c r="E14">
        <v>0.25</v>
      </c>
      <c r="F14" s="8">
        <f t="shared" ref="F14:F19" si="0">IF(C$7&gt;=D14, ((D14-C14+1)*E14), IF(C$7 &lt; C14, 0, (C$7-C14+1)*E14))</f>
        <v>6250</v>
      </c>
      <c r="G14" s="8">
        <f>G13+F14</f>
        <v>13750</v>
      </c>
      <c r="J14" s="5">
        <f>J13+1</f>
        <v>2017</v>
      </c>
      <c r="K14" s="4">
        <v>81</v>
      </c>
      <c r="L14">
        <v>0.35</v>
      </c>
      <c r="M14" s="8">
        <f t="shared" ref="M14:M17" si="1">K14*L14</f>
        <v>28.349999999999998</v>
      </c>
    </row>
    <row r="15" spans="3:13" x14ac:dyDescent="0.25">
      <c r="C15" s="12">
        <v>75001</v>
      </c>
      <c r="D15" s="12">
        <v>100000</v>
      </c>
      <c r="E15">
        <v>0.34</v>
      </c>
      <c r="F15" s="8">
        <f t="shared" si="0"/>
        <v>8500</v>
      </c>
      <c r="G15" s="8">
        <f t="shared" ref="G15:G20" si="2">G14+F15</f>
        <v>22250</v>
      </c>
      <c r="J15" s="5">
        <f t="shared" ref="J15:J17" si="3">J14+1</f>
        <v>2018</v>
      </c>
      <c r="K15" s="4">
        <v>91.69</v>
      </c>
      <c r="L15">
        <v>0.35</v>
      </c>
      <c r="M15" s="8">
        <f t="shared" si="1"/>
        <v>32.091499999999996</v>
      </c>
    </row>
    <row r="16" spans="3:13" x14ac:dyDescent="0.25">
      <c r="C16" s="12">
        <v>100001</v>
      </c>
      <c r="D16" s="12">
        <v>335000</v>
      </c>
      <c r="E16">
        <v>0.39</v>
      </c>
      <c r="F16" s="8">
        <f t="shared" si="0"/>
        <v>91650</v>
      </c>
      <c r="G16" s="8">
        <f t="shared" si="2"/>
        <v>113900</v>
      </c>
      <c r="J16" s="5">
        <f t="shared" si="3"/>
        <v>2019</v>
      </c>
      <c r="K16" s="4">
        <v>91.1</v>
      </c>
      <c r="L16">
        <v>0.35</v>
      </c>
      <c r="M16" s="8">
        <f t="shared" si="1"/>
        <v>31.884999999999994</v>
      </c>
    </row>
    <row r="17" spans="3:13" x14ac:dyDescent="0.25">
      <c r="C17" s="12">
        <v>335001</v>
      </c>
      <c r="D17" s="12">
        <v>10000000</v>
      </c>
      <c r="E17">
        <v>0.34</v>
      </c>
      <c r="F17" s="8">
        <f t="shared" si="0"/>
        <v>3286100.0000000005</v>
      </c>
      <c r="G17" s="8">
        <f t="shared" si="2"/>
        <v>3400000.0000000005</v>
      </c>
      <c r="J17" s="5">
        <f t="shared" si="3"/>
        <v>2020</v>
      </c>
      <c r="K17" s="4">
        <v>100.3</v>
      </c>
      <c r="L17">
        <v>0.35</v>
      </c>
      <c r="M17" s="8">
        <f t="shared" si="1"/>
        <v>35.104999999999997</v>
      </c>
    </row>
    <row r="18" spans="3:13" x14ac:dyDescent="0.25">
      <c r="C18" s="12">
        <v>10000001</v>
      </c>
      <c r="D18" s="12">
        <v>15000000</v>
      </c>
      <c r="E18">
        <v>0.35</v>
      </c>
      <c r="F18" s="8">
        <f t="shared" si="0"/>
        <v>1750000</v>
      </c>
      <c r="G18" s="8">
        <f t="shared" si="2"/>
        <v>5150000</v>
      </c>
    </row>
    <row r="19" spans="3:13" x14ac:dyDescent="0.25">
      <c r="C19" s="12">
        <v>15000001</v>
      </c>
      <c r="D19" s="12">
        <v>18333333</v>
      </c>
      <c r="E19">
        <v>0.38</v>
      </c>
      <c r="F19" s="8">
        <f t="shared" si="0"/>
        <v>1266666.54</v>
      </c>
      <c r="G19" s="8">
        <f t="shared" si="2"/>
        <v>6416666.54</v>
      </c>
    </row>
    <row r="20" spans="3:13" x14ac:dyDescent="0.25">
      <c r="C20" s="12">
        <v>18333334</v>
      </c>
      <c r="E20">
        <v>0.35</v>
      </c>
      <c r="F20" s="8">
        <f>IF(C$7&gt;C20, ((C$7-C20+1)*E20), 0)</f>
        <v>7318733333.4499998</v>
      </c>
      <c r="G20" s="8">
        <f t="shared" si="2"/>
        <v>7325149999.9899998</v>
      </c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2"/>
  <sheetViews>
    <sheetView topLeftCell="A13" zoomScale="80" zoomScaleNormal="80" workbookViewId="0">
      <selection activeCell="V43" sqref="V42:V43"/>
    </sheetView>
  </sheetViews>
  <sheetFormatPr defaultRowHeight="15" x14ac:dyDescent="0.25"/>
  <cols>
    <col min="4" max="4" width="11.5703125" customWidth="1"/>
    <col min="5" max="5" width="12.7109375" customWidth="1"/>
    <col min="6" max="6" width="15.85546875" customWidth="1"/>
    <col min="7" max="7" width="12.140625" bestFit="1" customWidth="1"/>
    <col min="8" max="8" width="14.28515625" customWidth="1"/>
    <col min="9" max="9" width="12.42578125" bestFit="1" customWidth="1"/>
    <col min="10" max="10" width="12.7109375" customWidth="1"/>
    <col min="11" max="11" width="11.7109375" customWidth="1"/>
    <col min="12" max="12" width="12" bestFit="1" customWidth="1"/>
    <col min="13" max="13" width="12.28515625" bestFit="1" customWidth="1"/>
    <col min="14" max="14" width="14.42578125" customWidth="1"/>
    <col min="16" max="16" width="12" bestFit="1" customWidth="1"/>
    <col min="17" max="17" width="11.5703125" bestFit="1" customWidth="1"/>
  </cols>
  <sheetData>
    <row r="2" spans="1:21" ht="23.25" x14ac:dyDescent="0.35">
      <c r="C2" s="71" t="s">
        <v>121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21" x14ac:dyDescent="0.25">
      <c r="C3" s="69" t="s">
        <v>122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1" x14ac:dyDescent="0.25">
      <c r="C4" s="69" t="s">
        <v>73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6" spans="1:2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34">
        <v>2016</v>
      </c>
      <c r="M6" s="34">
        <v>2015</v>
      </c>
      <c r="N6" s="34">
        <v>2014</v>
      </c>
      <c r="O6" s="13"/>
      <c r="P6" s="13"/>
      <c r="Q6" s="13"/>
    </row>
    <row r="7" spans="1:21" x14ac:dyDescent="0.25">
      <c r="A7" s="13"/>
      <c r="B7" s="13"/>
      <c r="C7" s="13"/>
      <c r="D7" s="14" t="s">
        <v>97</v>
      </c>
      <c r="E7" s="14">
        <v>2016</v>
      </c>
      <c r="F7" s="14"/>
      <c r="G7" s="13"/>
      <c r="H7" s="35"/>
      <c r="I7" s="73" t="s">
        <v>74</v>
      </c>
      <c r="J7" s="73"/>
      <c r="K7" s="73"/>
      <c r="L7" s="35">
        <v>115.21</v>
      </c>
      <c r="M7" s="36">
        <v>102.72</v>
      </c>
      <c r="N7" s="36">
        <v>105.6</v>
      </c>
      <c r="O7" s="13"/>
      <c r="P7" s="13"/>
      <c r="Q7" s="45"/>
      <c r="R7" s="45"/>
      <c r="S7" s="45"/>
      <c r="T7" s="45"/>
      <c r="U7" s="45"/>
    </row>
    <row r="8" spans="1:21" ht="17.25" x14ac:dyDescent="0.25">
      <c r="A8" s="13"/>
      <c r="B8" s="13"/>
      <c r="C8" s="15"/>
      <c r="D8" s="17" t="s">
        <v>69</v>
      </c>
      <c r="E8" s="16">
        <f>L13</f>
        <v>8.4760000000000002E-2</v>
      </c>
      <c r="F8" s="13"/>
      <c r="G8" s="15"/>
      <c r="H8" s="73" t="s">
        <v>68</v>
      </c>
      <c r="I8" s="73"/>
      <c r="J8" s="73"/>
      <c r="K8" s="73"/>
      <c r="L8" s="37">
        <v>2737.3</v>
      </c>
      <c r="M8" s="38">
        <v>2771.8</v>
      </c>
      <c r="N8" s="38">
        <v>2815.2</v>
      </c>
      <c r="O8" s="15"/>
      <c r="P8" s="15"/>
      <c r="Q8" s="45"/>
      <c r="R8" s="45"/>
      <c r="S8" s="45"/>
      <c r="T8" s="45"/>
      <c r="U8" s="45"/>
    </row>
    <row r="9" spans="1:21" ht="17.25" x14ac:dyDescent="0.25">
      <c r="A9" s="13"/>
      <c r="B9" s="13"/>
      <c r="C9" s="15"/>
      <c r="D9" s="6" t="s">
        <v>91</v>
      </c>
      <c r="E9" s="33">
        <f>(K20-K19+F20)/E20</f>
        <v>0.85108989371284449</v>
      </c>
      <c r="F9" s="13"/>
      <c r="G9" s="15"/>
      <c r="H9" s="37"/>
      <c r="I9" s="73" t="s">
        <v>72</v>
      </c>
      <c r="J9" s="73"/>
      <c r="K9" s="73"/>
      <c r="L9" s="36">
        <f>L7*L8</f>
        <v>315364.33299999998</v>
      </c>
      <c r="M9" s="36">
        <f>M7*M8</f>
        <v>284719.29600000003</v>
      </c>
      <c r="N9" s="36">
        <f>N7*N8</f>
        <v>297285.11999999994</v>
      </c>
      <c r="O9" s="15"/>
      <c r="P9" s="15"/>
      <c r="Q9" s="45"/>
      <c r="R9" s="45"/>
      <c r="S9" s="45"/>
      <c r="T9" s="45"/>
      <c r="U9" s="45"/>
    </row>
    <row r="10" spans="1:21" ht="17.25" x14ac:dyDescent="0.25">
      <c r="A10" s="13"/>
      <c r="B10" s="13"/>
      <c r="C10" s="15"/>
      <c r="D10" s="6" t="s">
        <v>92</v>
      </c>
      <c r="E10" s="33">
        <f>E9*L20</f>
        <v>0.1027749497480878</v>
      </c>
      <c r="F10" s="13"/>
      <c r="G10" s="15"/>
      <c r="H10" s="37"/>
      <c r="I10" s="37"/>
      <c r="J10" s="39"/>
      <c r="K10" s="40" t="s">
        <v>75</v>
      </c>
      <c r="L10" s="64">
        <v>22442</v>
      </c>
      <c r="M10" s="36">
        <v>12857</v>
      </c>
      <c r="N10" s="36">
        <v>15122</v>
      </c>
      <c r="O10" s="15"/>
      <c r="P10" s="15"/>
      <c r="Q10" s="45"/>
      <c r="R10" s="45"/>
      <c r="S10" s="45"/>
      <c r="T10" s="45"/>
      <c r="U10" s="45"/>
    </row>
    <row r="11" spans="1:21" ht="18.75" x14ac:dyDescent="0.35">
      <c r="A11" s="13"/>
      <c r="B11" s="13"/>
      <c r="C11" s="15"/>
      <c r="D11" s="17" t="s">
        <v>95</v>
      </c>
      <c r="E11" s="16">
        <f>((D25-D18)/D18)/(C25-C18)</f>
        <v>6.2550254943584765E-2</v>
      </c>
      <c r="F11" s="13"/>
      <c r="G11" s="15"/>
      <c r="H11" s="37"/>
      <c r="I11" s="37"/>
      <c r="J11" s="39"/>
      <c r="K11" s="40" t="s">
        <v>76</v>
      </c>
      <c r="L11" s="64">
        <v>41907</v>
      </c>
      <c r="M11" s="36">
        <v>38376</v>
      </c>
      <c r="N11" s="36">
        <v>33089</v>
      </c>
      <c r="O11" s="15"/>
      <c r="P11" s="15"/>
      <c r="Q11" s="45"/>
      <c r="R11" s="45"/>
      <c r="S11" s="45"/>
      <c r="T11" s="45"/>
      <c r="U11" s="45"/>
    </row>
    <row r="12" spans="1:21" ht="17.25" x14ac:dyDescent="0.25">
      <c r="A12" s="13"/>
      <c r="B12" s="13"/>
      <c r="C12" s="15"/>
      <c r="D12" s="14"/>
      <c r="E12" s="15"/>
      <c r="F12" s="13"/>
      <c r="G12" s="15"/>
      <c r="H12" s="37"/>
      <c r="I12" s="37"/>
      <c r="J12" s="39"/>
      <c r="K12" s="40" t="s">
        <v>77</v>
      </c>
      <c r="L12" s="65">
        <f>L$9+L$10-L$11</f>
        <v>295899.33299999998</v>
      </c>
      <c r="M12" s="65">
        <f>M$9+M$10-M$11</f>
        <v>259200.29600000003</v>
      </c>
      <c r="N12" s="65">
        <f>N$9+N$10-N$11</f>
        <v>279318.11999999994</v>
      </c>
      <c r="O12" s="15"/>
      <c r="P12" s="15"/>
      <c r="Q12" s="45"/>
      <c r="R12" s="45"/>
      <c r="S12" s="45"/>
      <c r="T12" s="45"/>
      <c r="U12" s="45"/>
    </row>
    <row r="13" spans="1:21" ht="18.75" x14ac:dyDescent="0.35">
      <c r="A13" s="13"/>
      <c r="B13" s="13"/>
      <c r="C13" s="15"/>
      <c r="D13" s="17" t="s">
        <v>49</v>
      </c>
      <c r="E13" s="13">
        <v>15</v>
      </c>
      <c r="F13" s="72" t="s">
        <v>64</v>
      </c>
      <c r="G13" s="72"/>
      <c r="H13" s="41">
        <f>((1-E14)*(1-$E$10/$L$20))/($E$8-$E$10)</f>
        <v>-5.3728470209540848</v>
      </c>
      <c r="I13" s="42"/>
      <c r="J13" s="35"/>
      <c r="K13" s="40" t="s">
        <v>69</v>
      </c>
      <c r="L13" s="66">
        <v>8.4760000000000002E-2</v>
      </c>
      <c r="M13" s="66">
        <v>9.1833999999999999E-2</v>
      </c>
      <c r="N13" s="66">
        <v>9.1127E-2</v>
      </c>
      <c r="O13" s="15"/>
      <c r="P13" s="15"/>
      <c r="Q13" s="45"/>
      <c r="R13" s="45"/>
      <c r="S13" s="45"/>
      <c r="T13" s="45"/>
      <c r="U13" s="45"/>
    </row>
    <row r="14" spans="1:21" x14ac:dyDescent="0.25">
      <c r="A14" s="13"/>
      <c r="B14" s="13"/>
      <c r="C14" s="15"/>
      <c r="D14" s="14" t="s">
        <v>43</v>
      </c>
      <c r="E14" s="19">
        <v>0.35</v>
      </c>
      <c r="F14" s="13"/>
      <c r="G14" s="19"/>
      <c r="H14" s="19"/>
      <c r="I14" s="31"/>
      <c r="J14" s="15"/>
      <c r="K14" s="15"/>
      <c r="L14" s="15"/>
      <c r="M14" s="15"/>
      <c r="N14" s="15"/>
      <c r="O14" s="15"/>
      <c r="P14" s="15"/>
      <c r="Q14" s="13"/>
    </row>
    <row r="15" spans="1:21" x14ac:dyDescent="0.25">
      <c r="A15" s="13"/>
      <c r="B15" s="13"/>
      <c r="C15" s="15"/>
      <c r="D15" s="14"/>
      <c r="E15" s="19"/>
      <c r="F15" s="13"/>
      <c r="G15" s="19"/>
      <c r="H15" s="19"/>
      <c r="I15" s="15"/>
      <c r="J15" s="15"/>
      <c r="K15" s="15"/>
      <c r="L15" s="48"/>
      <c r="M15" s="48"/>
      <c r="N15" s="48"/>
      <c r="O15" s="15"/>
      <c r="P15" s="15"/>
      <c r="Q15" s="13"/>
    </row>
    <row r="16" spans="1:21" x14ac:dyDescent="0.25">
      <c r="A16" s="13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30" ht="30" x14ac:dyDescent="0.25">
      <c r="A17" s="13"/>
      <c r="B17" s="13"/>
      <c r="C17" s="17" t="s">
        <v>50</v>
      </c>
      <c r="D17" s="20" t="s">
        <v>46</v>
      </c>
      <c r="E17" s="17" t="s">
        <v>81</v>
      </c>
      <c r="F17" s="20" t="s">
        <v>126</v>
      </c>
      <c r="G17" s="20" t="s">
        <v>66</v>
      </c>
      <c r="H17" s="20" t="s">
        <v>124</v>
      </c>
      <c r="I17" s="20" t="s">
        <v>53</v>
      </c>
      <c r="J17" s="20" t="s">
        <v>54</v>
      </c>
      <c r="K17" s="20" t="s">
        <v>98</v>
      </c>
      <c r="L17" s="20" t="s">
        <v>79</v>
      </c>
      <c r="M17" s="20" t="s">
        <v>67</v>
      </c>
      <c r="N17" s="20" t="s">
        <v>55</v>
      </c>
    </row>
    <row r="18" spans="1:30" x14ac:dyDescent="0.25">
      <c r="A18" s="13"/>
      <c r="B18" s="13"/>
      <c r="C18" s="22">
        <v>2014</v>
      </c>
      <c r="D18" s="59">
        <v>20929</v>
      </c>
      <c r="E18" s="67">
        <f>D18*(1-$E$14)</f>
        <v>13603.85</v>
      </c>
      <c r="F18" s="59">
        <v>2497</v>
      </c>
      <c r="G18" s="59">
        <v>14757</v>
      </c>
      <c r="H18" s="59">
        <v>71808</v>
      </c>
      <c r="I18" s="61">
        <v>59311</v>
      </c>
      <c r="J18" s="61">
        <v>25085</v>
      </c>
      <c r="K18" s="57">
        <f>H18+(I18-J18)</f>
        <v>106034</v>
      </c>
      <c r="L18" s="25">
        <f>E18/K18</f>
        <v>0.12829705566139163</v>
      </c>
      <c r="M18" s="62">
        <f>N12</f>
        <v>279318.11999999994</v>
      </c>
      <c r="N18" s="26">
        <f>M18/D18</f>
        <v>13.345984996894259</v>
      </c>
    </row>
    <row r="19" spans="1:30" x14ac:dyDescent="0.25">
      <c r="A19" s="13"/>
      <c r="C19" s="22">
        <v>2015</v>
      </c>
      <c r="D19" s="59">
        <v>18368</v>
      </c>
      <c r="E19" s="67">
        <f t="shared" ref="E19:E25" si="0">D19*(1-$E$14)</f>
        <v>11939.2</v>
      </c>
      <c r="F19" s="59">
        <v>2546</v>
      </c>
      <c r="G19" s="59">
        <v>15816</v>
      </c>
      <c r="H19" s="59">
        <v>73201</v>
      </c>
      <c r="I19" s="61">
        <v>60210</v>
      </c>
      <c r="J19" s="61">
        <v>27747</v>
      </c>
      <c r="K19" s="57">
        <f>H19+(I19-J19)</f>
        <v>105664</v>
      </c>
      <c r="L19" s="25">
        <f>E19/K19</f>
        <v>0.11299212598425197</v>
      </c>
      <c r="M19" s="62">
        <f>M12</f>
        <v>259200.29600000003</v>
      </c>
      <c r="N19" s="26">
        <f>M19/D19</f>
        <v>14.111514372822301</v>
      </c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x14ac:dyDescent="0.25">
      <c r="A20" s="13"/>
      <c r="B20" s="21" t="s">
        <v>48</v>
      </c>
      <c r="C20" s="27">
        <v>2016</v>
      </c>
      <c r="D20" s="58">
        <v>21350</v>
      </c>
      <c r="E20" s="67">
        <f t="shared" si="0"/>
        <v>13877.5</v>
      </c>
      <c r="F20" s="58">
        <v>2554</v>
      </c>
      <c r="G20" s="58">
        <v>15541</v>
      </c>
      <c r="H20" s="57">
        <v>76176</v>
      </c>
      <c r="I20" s="57">
        <v>65032</v>
      </c>
      <c r="J20" s="57">
        <v>26287</v>
      </c>
      <c r="K20" s="57">
        <f>H20+(I20-J20)</f>
        <v>114921</v>
      </c>
      <c r="L20" s="25">
        <f>E20/K20</f>
        <v>0.1207568677613317</v>
      </c>
      <c r="M20" s="24">
        <f>L12</f>
        <v>295899.33299999998</v>
      </c>
      <c r="N20" s="28">
        <f>M20/D20</f>
        <v>13.859453536299766</v>
      </c>
    </row>
    <row r="21" spans="1:30" x14ac:dyDescent="0.25">
      <c r="A21" s="13"/>
      <c r="B21" s="13">
        <v>1</v>
      </c>
      <c r="C21" s="27">
        <f t="shared" ref="C21:C24" si="1">C20+1</f>
        <v>2017</v>
      </c>
      <c r="D21" s="58">
        <v>23370.5</v>
      </c>
      <c r="E21" s="67">
        <f t="shared" si="0"/>
        <v>15190.825000000001</v>
      </c>
      <c r="F21" s="53">
        <v>3557.0999999999985</v>
      </c>
      <c r="G21" s="58">
        <v>18620</v>
      </c>
      <c r="J21" s="43"/>
      <c r="K21" s="24"/>
      <c r="L21" s="24"/>
      <c r="M21" s="24"/>
      <c r="N21" s="24"/>
      <c r="O21" s="25"/>
      <c r="P21" s="24"/>
      <c r="Q21" s="28"/>
    </row>
    <row r="22" spans="1:30" x14ac:dyDescent="0.25">
      <c r="A22" s="13"/>
      <c r="B22" s="13">
        <v>2</v>
      </c>
      <c r="C22" s="27">
        <f t="shared" si="1"/>
        <v>2018</v>
      </c>
      <c r="D22" s="58">
        <v>25336.400000000001</v>
      </c>
      <c r="E22" s="67">
        <f t="shared" si="0"/>
        <v>16468.66</v>
      </c>
      <c r="F22" s="53">
        <v>3847.2999999999993</v>
      </c>
      <c r="G22" s="60">
        <v>20909</v>
      </c>
      <c r="J22" s="43"/>
      <c r="K22" s="24"/>
      <c r="L22" s="24"/>
      <c r="M22" s="24"/>
      <c r="N22" s="24"/>
      <c r="O22" s="25"/>
      <c r="P22" s="24"/>
      <c r="Q22" s="28"/>
    </row>
    <row r="23" spans="1:30" x14ac:dyDescent="0.25">
      <c r="A23" s="13"/>
      <c r="B23" s="13">
        <v>3</v>
      </c>
      <c r="C23" s="27">
        <f t="shared" si="1"/>
        <v>2019</v>
      </c>
      <c r="D23" s="58">
        <v>26814.3</v>
      </c>
      <c r="E23" s="67">
        <f t="shared" si="0"/>
        <v>17429.295000000002</v>
      </c>
      <c r="F23" s="53">
        <v>3940.7999999999993</v>
      </c>
      <c r="G23" s="60">
        <v>22644</v>
      </c>
      <c r="J23" s="43"/>
      <c r="K23" s="24"/>
      <c r="L23" s="24"/>
      <c r="M23" s="24"/>
      <c r="N23" s="24"/>
      <c r="O23" s="25"/>
      <c r="P23" s="23"/>
      <c r="Q23" s="28"/>
    </row>
    <row r="24" spans="1:30" x14ac:dyDescent="0.25">
      <c r="A24" s="13"/>
      <c r="B24" s="13">
        <v>4</v>
      </c>
      <c r="C24" s="27">
        <f t="shared" si="1"/>
        <v>2020</v>
      </c>
      <c r="D24" s="58">
        <v>28425</v>
      </c>
      <c r="E24" s="67">
        <f t="shared" si="0"/>
        <v>18476.25</v>
      </c>
      <c r="F24" s="53">
        <v>3473.7999999999993</v>
      </c>
      <c r="G24" s="60">
        <f>(1+((E24-E23)/E23))*G23</f>
        <v>24004.195522538346</v>
      </c>
      <c r="J24" s="43"/>
      <c r="K24" s="24"/>
      <c r="L24" s="24"/>
      <c r="M24" s="24"/>
      <c r="N24" s="24"/>
      <c r="O24" s="25"/>
      <c r="P24" s="23"/>
      <c r="Q24" s="28"/>
    </row>
    <row r="25" spans="1:30" x14ac:dyDescent="0.25">
      <c r="A25" s="13"/>
      <c r="B25" s="32">
        <v>5</v>
      </c>
      <c r="C25" s="13">
        <v>2021</v>
      </c>
      <c r="D25" s="63">
        <v>30092.799999999999</v>
      </c>
      <c r="E25" s="63">
        <f t="shared" si="0"/>
        <v>19560.32</v>
      </c>
      <c r="F25" s="53">
        <v>5922.5000000000036</v>
      </c>
      <c r="G25" s="60">
        <f>(1+((E25-E24)/E24))*G24</f>
        <v>25412.610554815899</v>
      </c>
      <c r="J25" s="43"/>
      <c r="K25" s="13"/>
      <c r="L25" s="13"/>
      <c r="M25" s="13"/>
      <c r="N25" s="13"/>
      <c r="O25" s="13"/>
      <c r="P25" s="13"/>
      <c r="Q25" s="13"/>
    </row>
    <row r="26" spans="1:3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30" ht="18" x14ac:dyDescent="0.35">
      <c r="A27" s="13"/>
      <c r="B27" s="13"/>
      <c r="C27" s="74" t="s">
        <v>102</v>
      </c>
      <c r="D27" s="74"/>
      <c r="E27" s="74"/>
      <c r="F27" s="74"/>
      <c r="H27" s="74" t="s">
        <v>105</v>
      </c>
      <c r="I27" s="74"/>
      <c r="J27" s="74"/>
      <c r="K27" s="74"/>
      <c r="L27" s="74" t="s">
        <v>104</v>
      </c>
      <c r="M27" s="74"/>
      <c r="N27" s="74"/>
      <c r="O27" s="13"/>
      <c r="P27" s="13"/>
      <c r="Q27" s="13"/>
    </row>
    <row r="28" spans="1:30" ht="18" x14ac:dyDescent="0.35">
      <c r="A28" s="13"/>
      <c r="B28" s="13"/>
      <c r="C28" s="13"/>
      <c r="D28" s="49" t="s">
        <v>51</v>
      </c>
      <c r="E28" s="49" t="s">
        <v>58</v>
      </c>
      <c r="F28" s="29" t="s">
        <v>59</v>
      </c>
      <c r="H28" s="49" t="s">
        <v>52</v>
      </c>
      <c r="I28" s="49" t="s">
        <v>106</v>
      </c>
      <c r="J28" s="29" t="s">
        <v>61</v>
      </c>
      <c r="L28" s="29" t="s">
        <v>52</v>
      </c>
      <c r="M28" s="29" t="s">
        <v>60</v>
      </c>
      <c r="N28" s="29" t="s">
        <v>61</v>
      </c>
      <c r="O28" s="13"/>
      <c r="P28" s="13"/>
      <c r="Q28" s="13"/>
    </row>
    <row r="29" spans="1:30" x14ac:dyDescent="0.25">
      <c r="A29" s="13"/>
      <c r="B29" s="13"/>
      <c r="C29" s="13">
        <v>2017</v>
      </c>
      <c r="D29" s="30">
        <f>E21</f>
        <v>15190.825000000001</v>
      </c>
      <c r="E29" s="18">
        <f>D29/((1+$E$8)^(C21-$E$7))</f>
        <v>14003.857996238801</v>
      </c>
      <c r="F29" s="18">
        <f>E29</f>
        <v>14003.857996238801</v>
      </c>
      <c r="H29" s="30">
        <f>G21</f>
        <v>18620</v>
      </c>
      <c r="I29" s="18">
        <f>H29/((1+$E$8)^(C21-$E$7))</f>
        <v>17165.087208230394</v>
      </c>
      <c r="J29" s="18">
        <f>I29</f>
        <v>17165.087208230394</v>
      </c>
      <c r="L29" s="30">
        <f>G21</f>
        <v>18620</v>
      </c>
      <c r="M29" s="18">
        <f>L29/((1+$E$8)^(C21-$E$7))</f>
        <v>17165.087208230394</v>
      </c>
      <c r="N29" s="18">
        <f>M29</f>
        <v>17165.087208230394</v>
      </c>
      <c r="O29" s="13"/>
      <c r="P29" s="13"/>
      <c r="Q29" s="13"/>
    </row>
    <row r="30" spans="1:30" x14ac:dyDescent="0.25">
      <c r="A30" s="13"/>
      <c r="B30" s="13"/>
      <c r="C30" s="13">
        <v>2018</v>
      </c>
      <c r="D30" s="30">
        <f>E22</f>
        <v>16468.66</v>
      </c>
      <c r="E30" s="18">
        <f>D30/((1+$E$8)^(C22-$E$7))</f>
        <v>13995.581212215035</v>
      </c>
      <c r="F30" s="18">
        <f>F29+E30</f>
        <v>27999.439208453834</v>
      </c>
      <c r="H30" s="30">
        <f>G22</f>
        <v>20909</v>
      </c>
      <c r="I30" s="18">
        <f>H30/((1+$E$8)^(C22-$E$7))</f>
        <v>17769.120715723329</v>
      </c>
      <c r="J30" s="18">
        <f>J29+I30</f>
        <v>34934.207923953727</v>
      </c>
      <c r="L30" s="30">
        <f>G22</f>
        <v>20909</v>
      </c>
      <c r="M30" s="18">
        <f>L30/((1+$E$8)^(C22-$E$7))</f>
        <v>17769.120715723329</v>
      </c>
      <c r="N30" s="18">
        <f>N29+M30</f>
        <v>34934.207923953727</v>
      </c>
      <c r="O30" s="13"/>
      <c r="P30" s="13"/>
      <c r="Q30" s="13"/>
    </row>
    <row r="31" spans="1:30" x14ac:dyDescent="0.25">
      <c r="A31" s="13"/>
      <c r="B31" s="13"/>
      <c r="C31" s="13">
        <v>2019</v>
      </c>
      <c r="D31" s="30">
        <f>E23</f>
        <v>17429.295000000002</v>
      </c>
      <c r="E31" s="18">
        <f>D31/((1+$E$8)^(C23-$E$7))</f>
        <v>13654.595315226203</v>
      </c>
      <c r="F31" s="18">
        <f>F30+E31</f>
        <v>41654.034523680035</v>
      </c>
      <c r="H31" s="30">
        <f>G23</f>
        <v>22644</v>
      </c>
      <c r="I31" s="18">
        <f>H31/((1+$E$8)^(C23-$E$7))</f>
        <v>17739.940503501839</v>
      </c>
      <c r="J31" s="18">
        <f>J30+I31</f>
        <v>52674.14842745557</v>
      </c>
      <c r="L31" s="30">
        <f>G23</f>
        <v>22644</v>
      </c>
      <c r="M31" s="18">
        <f>L31/((1+$E$8)^(C23-$E$7))</f>
        <v>17739.940503501839</v>
      </c>
      <c r="N31" s="18">
        <f t="shared" ref="N31:N33" si="2">N30+M31</f>
        <v>52674.14842745557</v>
      </c>
      <c r="O31" s="13"/>
      <c r="P31" s="13"/>
      <c r="Q31" s="13"/>
    </row>
    <row r="32" spans="1:30" x14ac:dyDescent="0.25">
      <c r="A32" s="13"/>
      <c r="B32" s="13"/>
      <c r="C32" s="13">
        <v>2020</v>
      </c>
      <c r="D32" s="30">
        <f>E24</f>
        <v>18476.25</v>
      </c>
      <c r="E32" s="18">
        <f>D32/((1+$E$8)^(C24-$E$7))</f>
        <v>13343.789439432458</v>
      </c>
      <c r="F32" s="18">
        <f>F31+E32</f>
        <v>54997.823963112489</v>
      </c>
      <c r="H32" s="30">
        <f>G24</f>
        <v>24004.195522538346</v>
      </c>
      <c r="I32" s="18">
        <f>H32/((1+$E$8)^(C24-$E$7))</f>
        <v>17336.144007345596</v>
      </c>
      <c r="J32" s="18">
        <f>J31+I32</f>
        <v>70010.292434801173</v>
      </c>
      <c r="L32" s="30">
        <f>G24</f>
        <v>24004.195522538346</v>
      </c>
      <c r="M32" s="18">
        <f>L32/((1+$E$8)^(C24-$E$7))</f>
        <v>17336.144007345596</v>
      </c>
      <c r="N32" s="18">
        <f t="shared" si="2"/>
        <v>70010.292434801173</v>
      </c>
      <c r="O32" s="13"/>
      <c r="P32" s="13"/>
      <c r="Q32" s="13"/>
    </row>
    <row r="33" spans="1:17" x14ac:dyDescent="0.25">
      <c r="A33" s="13"/>
      <c r="B33" s="13"/>
      <c r="C33" s="13">
        <v>2021</v>
      </c>
      <c r="D33" s="30">
        <f>E25</f>
        <v>19560.32</v>
      </c>
      <c r="E33" s="18">
        <f>D33/((1+$E$8)^(C25-$E$7))</f>
        <v>13022.898128845431</v>
      </c>
      <c r="F33" s="18">
        <f>F32+E33</f>
        <v>68020.722091957927</v>
      </c>
      <c r="H33" s="30">
        <f>G25</f>
        <v>25412.610554815899</v>
      </c>
      <c r="I33" s="18">
        <f>H33/((1+$E$8)^(C25-$E$7))</f>
        <v>16919.244595353739</v>
      </c>
      <c r="J33" s="18">
        <f>J32+I33</f>
        <v>86929.537030154912</v>
      </c>
      <c r="L33" s="30">
        <f>G25</f>
        <v>25412.610554815899</v>
      </c>
      <c r="M33" s="18">
        <f>L33/((1+$E$8)^(C25-$E$7))</f>
        <v>16919.244595353739</v>
      </c>
      <c r="N33" s="18">
        <f t="shared" si="2"/>
        <v>86929.537030154912</v>
      </c>
      <c r="O33" s="13"/>
      <c r="P33" s="13"/>
      <c r="Q33" s="13"/>
    </row>
    <row r="34" spans="1:17" x14ac:dyDescent="0.25">
      <c r="A34" s="13"/>
      <c r="B34" s="13"/>
      <c r="C34" s="13"/>
      <c r="D34" s="30"/>
      <c r="E34" s="13"/>
      <c r="F34" s="13"/>
      <c r="L34" s="13"/>
      <c r="M34" s="13"/>
      <c r="N34" s="13"/>
      <c r="O34" s="13"/>
      <c r="P34" s="13"/>
      <c r="Q34" s="13"/>
    </row>
    <row r="35" spans="1:17" ht="18" x14ac:dyDescent="0.35">
      <c r="A35" s="13"/>
      <c r="B35" s="13"/>
      <c r="C35" s="13"/>
      <c r="D35" s="13"/>
      <c r="E35" s="14" t="s">
        <v>56</v>
      </c>
      <c r="F35" s="18">
        <f>F33</f>
        <v>68020.722091957927</v>
      </c>
      <c r="I35" s="14" t="s">
        <v>57</v>
      </c>
      <c r="J35" s="18">
        <f>J33</f>
        <v>86929.537030154912</v>
      </c>
      <c r="L35" s="13"/>
      <c r="M35" s="14" t="s">
        <v>57</v>
      </c>
      <c r="N35" s="18">
        <f>N33</f>
        <v>86929.537030154912</v>
      </c>
      <c r="O35" s="13"/>
      <c r="P35" s="13"/>
      <c r="Q35" s="13"/>
    </row>
    <row r="36" spans="1:17" ht="18" x14ac:dyDescent="0.35">
      <c r="A36" s="13"/>
      <c r="B36" s="13"/>
      <c r="C36" s="13"/>
      <c r="D36" s="13"/>
      <c r="E36" s="14" t="s">
        <v>62</v>
      </c>
      <c r="F36" s="18">
        <f>((D33*(1+E10))*(1-E10/L20))/(E8-E10)</f>
        <v>-178301.07692051234</v>
      </c>
      <c r="I36" s="14" t="s">
        <v>62</v>
      </c>
      <c r="J36" s="18">
        <f>((E25*(1+E10))*(1-E10/L20))/(E8-E10)</f>
        <v>-178301.07692051234</v>
      </c>
      <c r="L36" s="13"/>
      <c r="M36" s="14" t="s">
        <v>100</v>
      </c>
      <c r="N36" s="18">
        <f>(L33*(1+E10))/(E8-E10)</f>
        <v>-1555618.5678802396</v>
      </c>
      <c r="O36" s="13"/>
      <c r="P36" s="13"/>
      <c r="Q36" s="13"/>
    </row>
    <row r="37" spans="1:17" ht="18" x14ac:dyDescent="0.35">
      <c r="A37" s="13"/>
      <c r="B37" s="13"/>
      <c r="C37" s="13"/>
      <c r="D37" s="13"/>
      <c r="E37" s="14" t="s">
        <v>63</v>
      </c>
      <c r="F37" s="18">
        <f>F36/((1+E8)^(C25-E7))</f>
        <v>-118709.54877012571</v>
      </c>
      <c r="I37" s="14" t="s">
        <v>63</v>
      </c>
      <c r="J37" s="18">
        <f>J36/((1+E8)^(C25-E7))</f>
        <v>-118709.54877012571</v>
      </c>
      <c r="L37" s="13"/>
      <c r="M37" s="14" t="s">
        <v>63</v>
      </c>
      <c r="N37" s="18">
        <f>N36/((1+E8)^(C25-E7))</f>
        <v>-1035701.9791519147</v>
      </c>
      <c r="O37" s="13"/>
      <c r="P37" s="13"/>
      <c r="Q37" s="13"/>
    </row>
    <row r="38" spans="1:17" ht="18" x14ac:dyDescent="0.35">
      <c r="A38" s="13"/>
      <c r="B38" s="13"/>
      <c r="C38" s="13"/>
      <c r="D38" s="13"/>
      <c r="E38" s="14" t="s">
        <v>102</v>
      </c>
      <c r="F38" s="18">
        <f>F35+F37</f>
        <v>-50688.826678167781</v>
      </c>
      <c r="I38" s="14" t="s">
        <v>105</v>
      </c>
      <c r="J38" s="18">
        <f>J35+J37</f>
        <v>-31780.011739970796</v>
      </c>
      <c r="L38" s="13"/>
      <c r="M38" s="14" t="s">
        <v>21</v>
      </c>
      <c r="N38" s="18">
        <f>N35+N37</f>
        <v>-948772.44212175976</v>
      </c>
      <c r="O38" s="13"/>
      <c r="P38" s="13"/>
      <c r="Q38" s="13"/>
    </row>
    <row r="39" spans="1:17" x14ac:dyDescent="0.25">
      <c r="A39" s="13"/>
      <c r="B39" s="13"/>
      <c r="C39" s="13"/>
      <c r="D39" s="13"/>
      <c r="E39" s="13"/>
      <c r="F39" s="14"/>
      <c r="G39" s="18"/>
      <c r="L39" s="13"/>
      <c r="M39" s="14"/>
      <c r="N39" s="18"/>
      <c r="O39" s="13"/>
      <c r="P39" s="13"/>
      <c r="Q39" s="13"/>
    </row>
    <row r="40" spans="1:17" x14ac:dyDescent="0.25">
      <c r="A40" s="13"/>
      <c r="B40" s="13"/>
      <c r="C40" s="13"/>
      <c r="D40" s="13"/>
      <c r="E40" s="13"/>
      <c r="F40" s="14"/>
      <c r="G40" s="18"/>
      <c r="L40" s="13"/>
      <c r="M40" s="14"/>
      <c r="N40" s="18"/>
      <c r="O40" s="13"/>
      <c r="P40" s="13"/>
      <c r="Q40" s="13"/>
    </row>
    <row r="41" spans="1:17" ht="18" customHeight="1" x14ac:dyDescent="0.35">
      <c r="A41" s="13"/>
      <c r="B41" s="13"/>
      <c r="D41" s="70" t="s">
        <v>85</v>
      </c>
      <c r="E41" s="14" t="s">
        <v>101</v>
      </c>
      <c r="F41" s="18">
        <f>D25*(1+E10)*N20</f>
        <v>459934.08734969632</v>
      </c>
      <c r="I41" s="14" t="s">
        <v>101</v>
      </c>
      <c r="J41" s="18">
        <f>D25*(1+E10)*N20</f>
        <v>459934.08734969632</v>
      </c>
      <c r="L41" s="13"/>
      <c r="M41" s="14" t="s">
        <v>101</v>
      </c>
      <c r="N41" s="18">
        <f>D25*(1+E10)*N20</f>
        <v>459934.08734969632</v>
      </c>
      <c r="O41" s="13"/>
      <c r="P41" s="13"/>
      <c r="Q41" s="13"/>
    </row>
    <row r="42" spans="1:17" ht="18" customHeight="1" x14ac:dyDescent="0.35">
      <c r="A42" s="13"/>
      <c r="B42" s="13"/>
      <c r="D42" s="70"/>
      <c r="E42" s="14" t="s">
        <v>63</v>
      </c>
      <c r="F42" s="18">
        <f>F41/((1+$E$8)^($C$25-$E$7))</f>
        <v>306215.581623337</v>
      </c>
      <c r="I42" s="14" t="s">
        <v>63</v>
      </c>
      <c r="J42" s="18">
        <f>J41/((1+$E$8)^($C$25-$E$7))</f>
        <v>306215.581623337</v>
      </c>
      <c r="L42" s="13"/>
      <c r="M42" s="14" t="s">
        <v>63</v>
      </c>
      <c r="N42" s="18">
        <f>N41/((1+$E$8)^($C$25-$E$7))</f>
        <v>306215.581623337</v>
      </c>
      <c r="O42" s="13"/>
      <c r="P42" s="13"/>
      <c r="Q42" s="13"/>
    </row>
    <row r="43" spans="1:17" ht="18" x14ac:dyDescent="0.35">
      <c r="A43" s="13"/>
      <c r="B43" s="13"/>
      <c r="D43" s="70"/>
      <c r="E43" s="14" t="s">
        <v>103</v>
      </c>
      <c r="F43" s="30">
        <f>F35+F42</f>
        <v>374236.30371529493</v>
      </c>
      <c r="I43" s="14" t="s">
        <v>107</v>
      </c>
      <c r="J43" s="30">
        <f>J35+J42</f>
        <v>393145.1186534919</v>
      </c>
      <c r="L43" s="13"/>
      <c r="M43" s="14" t="s">
        <v>107</v>
      </c>
      <c r="N43" s="18">
        <f>N33+N42</f>
        <v>393145.1186534919</v>
      </c>
      <c r="O43" s="13"/>
      <c r="P43" s="13"/>
      <c r="Q43" s="13"/>
    </row>
    <row r="44" spans="1:17" x14ac:dyDescent="0.25">
      <c r="A44" s="13"/>
      <c r="B44" s="13"/>
      <c r="C44" s="13"/>
      <c r="E44" s="13"/>
      <c r="F44" s="13"/>
      <c r="G44" s="13"/>
      <c r="L44" s="13"/>
      <c r="M44" s="13"/>
      <c r="N44" s="13"/>
      <c r="O44" s="13"/>
      <c r="P44" s="13"/>
      <c r="Q44" s="13"/>
    </row>
    <row r="45" spans="1:17" x14ac:dyDescent="0.25">
      <c r="A45" s="13"/>
      <c r="B45" s="13"/>
      <c r="C45" s="13"/>
      <c r="D45" s="13"/>
      <c r="E45" s="13"/>
      <c r="F45" s="14"/>
      <c r="G45" s="13"/>
      <c r="L45" s="13"/>
      <c r="M45" s="13"/>
      <c r="N45" s="13"/>
      <c r="O45" s="13"/>
      <c r="P45" s="13"/>
      <c r="Q45" s="13"/>
    </row>
    <row r="46" spans="1:17" ht="18" customHeight="1" x14ac:dyDescent="0.35">
      <c r="A46" s="13"/>
      <c r="B46" s="13"/>
      <c r="D46" s="70" t="s">
        <v>86</v>
      </c>
      <c r="E46" s="14" t="s">
        <v>101</v>
      </c>
      <c r="F46" s="30">
        <f>$D25*(1+$E$10)*$E$13</f>
        <v>497783.79011668894</v>
      </c>
      <c r="I46" s="14" t="s">
        <v>101</v>
      </c>
      <c r="J46" s="30">
        <f>$D25*(1+$E$10)*$E$13</f>
        <v>497783.79011668894</v>
      </c>
      <c r="L46" s="13"/>
      <c r="M46" s="14" t="s">
        <v>101</v>
      </c>
      <c r="N46" s="30">
        <f>$D25*(1+$E$10)*$E$13</f>
        <v>497783.79011668894</v>
      </c>
      <c r="O46" s="13"/>
      <c r="P46" s="13"/>
      <c r="Q46" s="13"/>
    </row>
    <row r="47" spans="1:17" ht="18" x14ac:dyDescent="0.35">
      <c r="A47" s="13"/>
      <c r="B47" s="13"/>
      <c r="D47" s="70"/>
      <c r="E47" s="14" t="s">
        <v>63</v>
      </c>
      <c r="F47" s="18">
        <f>F46/((1+$E$8)^($C$25-$E$7))</f>
        <v>331415.21145258436</v>
      </c>
      <c r="I47" s="14" t="s">
        <v>63</v>
      </c>
      <c r="J47" s="18">
        <f>J46/((1+$E$8)^($C$25-$E$7))</f>
        <v>331415.21145258436</v>
      </c>
      <c r="L47" s="13"/>
      <c r="M47" s="14" t="s">
        <v>63</v>
      </c>
      <c r="N47" s="18">
        <f>N46/((1+$E$8)^($C$25-$E$7))</f>
        <v>331415.21145258436</v>
      </c>
      <c r="O47" s="13"/>
      <c r="P47" s="13"/>
      <c r="Q47" s="13"/>
    </row>
    <row r="48" spans="1:17" ht="18" x14ac:dyDescent="0.35">
      <c r="A48" s="13"/>
      <c r="B48" s="13"/>
      <c r="D48" s="70"/>
      <c r="E48" s="14" t="s">
        <v>103</v>
      </c>
      <c r="F48" s="30">
        <f>F35+F47</f>
        <v>399435.93354454229</v>
      </c>
      <c r="I48" s="14" t="s">
        <v>107</v>
      </c>
      <c r="J48" s="30">
        <f>J35+J47</f>
        <v>418344.74848273926</v>
      </c>
      <c r="L48" s="13"/>
      <c r="M48" s="14" t="s">
        <v>107</v>
      </c>
      <c r="N48" s="30">
        <f>N35+N47</f>
        <v>418344.74848273926</v>
      </c>
      <c r="O48" s="13"/>
      <c r="P48" s="13"/>
      <c r="Q48" s="13"/>
    </row>
    <row r="49" spans="1:17" x14ac:dyDescent="0.25">
      <c r="A49" s="13"/>
      <c r="B49" s="13"/>
      <c r="C49" s="13"/>
      <c r="D49" s="13"/>
      <c r="E49" s="13"/>
      <c r="F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3"/>
      <c r="L50" s="13"/>
      <c r="M50" s="13"/>
      <c r="N50" s="13"/>
      <c r="O50" s="13"/>
      <c r="P50" s="13"/>
      <c r="Q50" s="13"/>
    </row>
    <row r="51" spans="1:17" ht="18" customHeight="1" x14ac:dyDescent="0.35">
      <c r="A51" s="13"/>
      <c r="B51" s="13"/>
      <c r="D51" s="70" t="s">
        <v>87</v>
      </c>
      <c r="E51" s="14" t="s">
        <v>101</v>
      </c>
      <c r="F51" s="30">
        <f>$D25*(1+$E$10)*$H$13</f>
        <v>-178301.07692051237</v>
      </c>
      <c r="I51" s="14" t="s">
        <v>101</v>
      </c>
      <c r="J51" s="30">
        <f>$D25*(1+$E$10)*$H$13</f>
        <v>-178301.07692051237</v>
      </c>
      <c r="L51" s="13"/>
      <c r="M51" s="14" t="s">
        <v>101</v>
      </c>
      <c r="N51" s="30">
        <f>$D25*(1+$E$10)*$H$13</f>
        <v>-178301.07692051237</v>
      </c>
      <c r="O51" s="13"/>
      <c r="P51" s="13"/>
      <c r="Q51" s="13"/>
    </row>
    <row r="52" spans="1:17" ht="18" x14ac:dyDescent="0.35">
      <c r="A52" s="13"/>
      <c r="B52" s="13"/>
      <c r="D52" s="70"/>
      <c r="E52" s="14" t="s">
        <v>63</v>
      </c>
      <c r="F52" s="18">
        <f>F51/((1+$E$8)^($C$25-$E$7))</f>
        <v>-118709.54877012574</v>
      </c>
      <c r="I52" s="14" t="s">
        <v>63</v>
      </c>
      <c r="J52" s="18">
        <f>J51/((1+$E$8)^($C$25-$E$7))</f>
        <v>-118709.54877012574</v>
      </c>
      <c r="L52" s="13"/>
      <c r="M52" s="14" t="s">
        <v>63</v>
      </c>
      <c r="N52" s="18">
        <f>N51/((1+$E$8)^($C$25-$E$7))</f>
        <v>-118709.54877012574</v>
      </c>
      <c r="O52" s="13"/>
      <c r="P52" s="13"/>
      <c r="Q52" s="13"/>
    </row>
    <row r="53" spans="1:17" ht="18" x14ac:dyDescent="0.35">
      <c r="A53" s="13"/>
      <c r="B53" s="13"/>
      <c r="D53" s="70"/>
      <c r="E53" s="14" t="s">
        <v>103</v>
      </c>
      <c r="F53" s="30">
        <f>F35+F52</f>
        <v>-50688.82667816781</v>
      </c>
      <c r="I53" s="14" t="s">
        <v>107</v>
      </c>
      <c r="J53" s="30">
        <f>J35+J52</f>
        <v>-31780.011739970825</v>
      </c>
      <c r="L53" s="13"/>
      <c r="M53" s="14" t="s">
        <v>107</v>
      </c>
      <c r="N53" s="30">
        <f>N35+N52</f>
        <v>-31780.011739970825</v>
      </c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7.25" x14ac:dyDescent="0.25">
      <c r="A56" s="13"/>
      <c r="B56" s="13"/>
      <c r="C56" s="13"/>
      <c r="D56" s="15" t="s">
        <v>65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7.25" x14ac:dyDescent="0.25">
      <c r="A57" s="13"/>
      <c r="B57" s="13"/>
      <c r="C57" s="13"/>
      <c r="D57" s="13" t="s">
        <v>125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7.25" x14ac:dyDescent="0.25">
      <c r="A58" s="13"/>
      <c r="B58" s="13"/>
      <c r="C58" s="13"/>
      <c r="D58" s="13" t="s">
        <v>70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7.25" x14ac:dyDescent="0.25">
      <c r="A59" s="13"/>
      <c r="B59" s="13"/>
      <c r="C59" s="13"/>
      <c r="D59" s="13" t="s">
        <v>99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13"/>
      <c r="C60" s="13"/>
      <c r="D60" s="13" t="s">
        <v>71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13"/>
      <c r="C61" s="13"/>
      <c r="D61" s="13" t="s">
        <v>94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7.25" x14ac:dyDescent="0.25">
      <c r="A62" s="13"/>
      <c r="B62" s="13"/>
      <c r="C62" s="13"/>
      <c r="D62" s="13" t="s">
        <v>84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7.25" x14ac:dyDescent="0.25">
      <c r="A63" s="13"/>
      <c r="B63" s="13"/>
      <c r="C63" s="13"/>
      <c r="D63" s="13" t="s">
        <v>80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7.25" x14ac:dyDescent="0.25">
      <c r="D64" s="44" t="s">
        <v>83</v>
      </c>
    </row>
    <row r="65" spans="4:4" ht="17.25" x14ac:dyDescent="0.25">
      <c r="D65" s="13" t="s">
        <v>82</v>
      </c>
    </row>
    <row r="66" spans="4:4" ht="17.25" x14ac:dyDescent="0.25">
      <c r="D66" s="13" t="s">
        <v>88</v>
      </c>
    </row>
    <row r="67" spans="4:4" ht="17.25" x14ac:dyDescent="0.25">
      <c r="D67" s="13" t="s">
        <v>89</v>
      </c>
    </row>
    <row r="68" spans="4:4" ht="17.25" x14ac:dyDescent="0.25">
      <c r="D68" s="13" t="s">
        <v>108</v>
      </c>
    </row>
    <row r="69" spans="4:4" ht="17.25" x14ac:dyDescent="0.25">
      <c r="D69" s="13" t="s">
        <v>90</v>
      </c>
    </row>
    <row r="70" spans="4:4" ht="17.25" x14ac:dyDescent="0.25">
      <c r="D70" t="s">
        <v>93</v>
      </c>
    </row>
    <row r="71" spans="4:4" ht="18.75" x14ac:dyDescent="0.35">
      <c r="D71" s="13" t="s">
        <v>96</v>
      </c>
    </row>
    <row r="72" spans="4:4" ht="17.25" x14ac:dyDescent="0.25">
      <c r="D72" s="13" t="s">
        <v>123</v>
      </c>
    </row>
  </sheetData>
  <mergeCells count="13">
    <mergeCell ref="D41:D43"/>
    <mergeCell ref="D46:D48"/>
    <mergeCell ref="D51:D53"/>
    <mergeCell ref="C2:P2"/>
    <mergeCell ref="C3:P3"/>
    <mergeCell ref="C4:P4"/>
    <mergeCell ref="F13:G13"/>
    <mergeCell ref="I7:K7"/>
    <mergeCell ref="I9:K9"/>
    <mergeCell ref="H8:K8"/>
    <mergeCell ref="C27:F27"/>
    <mergeCell ref="L27:N27"/>
    <mergeCell ref="H27:K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2"/>
  <sheetViews>
    <sheetView topLeftCell="A13" zoomScale="80" zoomScaleNormal="80" workbookViewId="0">
      <selection activeCell="C6" sqref="C6"/>
    </sheetView>
  </sheetViews>
  <sheetFormatPr defaultRowHeight="15" x14ac:dyDescent="0.25"/>
  <cols>
    <col min="4" max="4" width="11.5703125" customWidth="1"/>
    <col min="5" max="5" width="12.7109375" customWidth="1"/>
    <col min="6" max="6" width="15.85546875" customWidth="1"/>
    <col min="7" max="7" width="12.140625" bestFit="1" customWidth="1"/>
    <col min="8" max="8" width="14.28515625" customWidth="1"/>
    <col min="9" max="9" width="12.42578125" bestFit="1" customWidth="1"/>
    <col min="10" max="10" width="12.7109375" customWidth="1"/>
    <col min="11" max="11" width="11.7109375" customWidth="1"/>
    <col min="12" max="12" width="12" bestFit="1" customWidth="1"/>
    <col min="13" max="13" width="12.28515625" bestFit="1" customWidth="1"/>
    <col min="14" max="14" width="14.42578125" customWidth="1"/>
    <col min="16" max="16" width="12" bestFit="1" customWidth="1"/>
    <col min="17" max="17" width="11.5703125" bestFit="1" customWidth="1"/>
  </cols>
  <sheetData>
    <row r="2" spans="1:21" ht="23.25" x14ac:dyDescent="0.35">
      <c r="C2" s="71" t="s">
        <v>121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21" x14ac:dyDescent="0.25">
      <c r="C3" s="69" t="s">
        <v>122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1" x14ac:dyDescent="0.25">
      <c r="C4" s="69" t="s">
        <v>73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6" spans="1:2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34">
        <v>2016</v>
      </c>
      <c r="M6" s="34">
        <v>2015</v>
      </c>
      <c r="N6" s="34">
        <v>2014</v>
      </c>
      <c r="O6" s="13"/>
      <c r="P6" s="13"/>
      <c r="Q6" s="13"/>
    </row>
    <row r="7" spans="1:21" x14ac:dyDescent="0.25">
      <c r="A7" s="13"/>
      <c r="B7" s="13"/>
      <c r="C7" s="13"/>
      <c r="D7" s="14" t="s">
        <v>97</v>
      </c>
      <c r="E7" s="14">
        <v>2016</v>
      </c>
      <c r="F7" s="14"/>
      <c r="G7" s="13"/>
      <c r="H7" s="35"/>
      <c r="I7" s="73" t="s">
        <v>74</v>
      </c>
      <c r="J7" s="73"/>
      <c r="K7" s="73"/>
      <c r="L7" s="35">
        <v>115.21</v>
      </c>
      <c r="M7" s="36">
        <v>102.72</v>
      </c>
      <c r="N7" s="36">
        <v>105.6</v>
      </c>
      <c r="O7" s="13"/>
      <c r="P7" s="13"/>
      <c r="Q7" s="45"/>
      <c r="R7" s="45"/>
      <c r="S7" s="45"/>
      <c r="T7" s="45"/>
      <c r="U7" s="45"/>
    </row>
    <row r="8" spans="1:21" ht="17.25" x14ac:dyDescent="0.25">
      <c r="A8" s="13"/>
      <c r="B8" s="13"/>
      <c r="C8" s="15"/>
      <c r="D8" s="50" t="s">
        <v>69</v>
      </c>
      <c r="E8" s="16">
        <f>L13</f>
        <v>8.4760000000000002E-2</v>
      </c>
      <c r="F8" s="13"/>
      <c r="G8" s="15"/>
      <c r="H8" s="73" t="s">
        <v>68</v>
      </c>
      <c r="I8" s="73"/>
      <c r="J8" s="73"/>
      <c r="K8" s="73"/>
      <c r="L8" s="37">
        <v>2737.3</v>
      </c>
      <c r="M8" s="38">
        <v>2771.8</v>
      </c>
      <c r="N8" s="38">
        <v>2815.2</v>
      </c>
      <c r="O8" s="15"/>
      <c r="P8" s="15"/>
      <c r="Q8" s="45"/>
      <c r="R8" s="45"/>
      <c r="S8" s="45"/>
      <c r="T8" s="45"/>
      <c r="U8" s="45"/>
    </row>
    <row r="9" spans="1:21" ht="17.25" x14ac:dyDescent="0.25">
      <c r="A9" s="13"/>
      <c r="B9" s="13"/>
      <c r="C9" s="15"/>
      <c r="D9" s="6" t="s">
        <v>91</v>
      </c>
      <c r="E9" s="33">
        <f>(K20-K19+F20)/E20</f>
        <v>0.85108989371284449</v>
      </c>
      <c r="F9" s="13"/>
      <c r="G9" s="15"/>
      <c r="H9" s="37"/>
      <c r="I9" s="73" t="s">
        <v>72</v>
      </c>
      <c r="J9" s="73"/>
      <c r="K9" s="73"/>
      <c r="L9" s="36">
        <f>L7*L8</f>
        <v>315364.33299999998</v>
      </c>
      <c r="M9" s="36">
        <f>M7*M8</f>
        <v>284719.29600000003</v>
      </c>
      <c r="N9" s="36">
        <f>N7*N8</f>
        <v>297285.11999999994</v>
      </c>
      <c r="O9" s="15"/>
      <c r="P9" s="15"/>
      <c r="Q9" s="45"/>
      <c r="R9" s="45"/>
      <c r="S9" s="45"/>
      <c r="T9" s="45"/>
      <c r="U9" s="45"/>
    </row>
    <row r="10" spans="1:21" ht="17.25" x14ac:dyDescent="0.25">
      <c r="A10" s="13"/>
      <c r="B10" s="13"/>
      <c r="C10" s="15"/>
      <c r="D10" s="6" t="s">
        <v>92</v>
      </c>
      <c r="E10" s="33">
        <v>2.5000000000000001E-2</v>
      </c>
      <c r="F10" s="13"/>
      <c r="G10" s="15"/>
      <c r="H10" s="37"/>
      <c r="I10" s="37"/>
      <c r="J10" s="39"/>
      <c r="K10" s="51" t="s">
        <v>75</v>
      </c>
      <c r="L10" s="64">
        <v>22442</v>
      </c>
      <c r="M10" s="36">
        <v>12857</v>
      </c>
      <c r="N10" s="36">
        <v>15122</v>
      </c>
      <c r="O10" s="15"/>
      <c r="P10" s="15"/>
      <c r="Q10" s="45"/>
      <c r="R10" s="45"/>
      <c r="S10" s="45"/>
      <c r="T10" s="45"/>
      <c r="U10" s="45"/>
    </row>
    <row r="11" spans="1:21" ht="18.75" x14ac:dyDescent="0.35">
      <c r="A11" s="13"/>
      <c r="B11" s="13"/>
      <c r="C11" s="15"/>
      <c r="D11" s="50" t="s">
        <v>95</v>
      </c>
      <c r="E11" s="16">
        <f>((D25-D18)/D18)/(C25-C18)</f>
        <v>6.2550254943584765E-2</v>
      </c>
      <c r="F11" s="13"/>
      <c r="G11" s="15"/>
      <c r="H11" s="37"/>
      <c r="I11" s="37"/>
      <c r="J11" s="39"/>
      <c r="K11" s="51" t="s">
        <v>76</v>
      </c>
      <c r="L11" s="64">
        <v>41907</v>
      </c>
      <c r="M11" s="36">
        <v>38376</v>
      </c>
      <c r="N11" s="36">
        <v>33089</v>
      </c>
      <c r="O11" s="15"/>
      <c r="P11" s="15"/>
      <c r="Q11" s="45"/>
      <c r="R11" s="45"/>
      <c r="S11" s="45"/>
      <c r="T11" s="45"/>
      <c r="U11" s="45"/>
    </row>
    <row r="12" spans="1:21" ht="17.25" x14ac:dyDescent="0.25">
      <c r="A12" s="13"/>
      <c r="B12" s="13"/>
      <c r="C12" s="15"/>
      <c r="D12" s="14"/>
      <c r="E12" s="15"/>
      <c r="F12" s="13"/>
      <c r="G12" s="15"/>
      <c r="H12" s="37"/>
      <c r="I12" s="37"/>
      <c r="J12" s="39"/>
      <c r="K12" s="51" t="s">
        <v>77</v>
      </c>
      <c r="L12" s="65">
        <f>L$9+L$10-L$11</f>
        <v>295899.33299999998</v>
      </c>
      <c r="M12" s="65">
        <f>M$9+M$10-M$11</f>
        <v>259200.29600000003</v>
      </c>
      <c r="N12" s="65">
        <f>N$9+N$10-N$11</f>
        <v>279318.11999999994</v>
      </c>
      <c r="O12" s="15"/>
      <c r="P12" s="15"/>
      <c r="Q12" s="45"/>
      <c r="R12" s="45"/>
      <c r="S12" s="45"/>
      <c r="T12" s="45"/>
      <c r="U12" s="45"/>
    </row>
    <row r="13" spans="1:21" ht="18.75" x14ac:dyDescent="0.35">
      <c r="A13" s="13"/>
      <c r="B13" s="13"/>
      <c r="C13" s="15"/>
      <c r="D13" s="50" t="s">
        <v>49</v>
      </c>
      <c r="E13" s="13">
        <v>15</v>
      </c>
      <c r="F13" s="72" t="s">
        <v>64</v>
      </c>
      <c r="G13" s="72"/>
      <c r="H13" s="41">
        <f>((1-E14)*(1-$E$10/$L$20))/($E$8-$E$10)</f>
        <v>8.6250348779975479</v>
      </c>
      <c r="I13" s="42"/>
      <c r="J13" s="35"/>
      <c r="K13" s="51" t="s">
        <v>69</v>
      </c>
      <c r="L13" s="66">
        <v>8.4760000000000002E-2</v>
      </c>
      <c r="M13" s="66">
        <v>9.1833999999999999E-2</v>
      </c>
      <c r="N13" s="66">
        <v>9.1127E-2</v>
      </c>
      <c r="O13" s="15"/>
      <c r="P13" s="15"/>
      <c r="Q13" s="45"/>
      <c r="R13" s="45"/>
      <c r="S13" s="45"/>
      <c r="T13" s="45"/>
      <c r="U13" s="45"/>
    </row>
    <row r="14" spans="1:21" x14ac:dyDescent="0.25">
      <c r="A14" s="13"/>
      <c r="B14" s="13"/>
      <c r="C14" s="15"/>
      <c r="D14" s="14" t="s">
        <v>43</v>
      </c>
      <c r="E14" s="19">
        <v>0.35</v>
      </c>
      <c r="F14" s="13"/>
      <c r="G14" s="19"/>
      <c r="H14" s="19"/>
      <c r="I14" s="31"/>
      <c r="J14" s="15"/>
      <c r="K14" s="15"/>
      <c r="L14" s="15"/>
      <c r="M14" s="15"/>
      <c r="N14" s="15"/>
      <c r="O14" s="15"/>
      <c r="P14" s="15"/>
      <c r="Q14" s="13"/>
    </row>
    <row r="15" spans="1:21" x14ac:dyDescent="0.25">
      <c r="A15" s="13"/>
      <c r="B15" s="13"/>
      <c r="C15" s="15"/>
      <c r="D15" s="14"/>
      <c r="E15" s="19"/>
      <c r="F15" s="13"/>
      <c r="G15" s="19"/>
      <c r="H15" s="19"/>
      <c r="I15" s="15"/>
      <c r="J15" s="15"/>
      <c r="K15" s="15"/>
      <c r="L15" s="48"/>
      <c r="M15" s="48"/>
      <c r="N15" s="48"/>
      <c r="O15" s="15"/>
      <c r="P15" s="15"/>
      <c r="Q15" s="13"/>
    </row>
    <row r="16" spans="1:21" x14ac:dyDescent="0.25">
      <c r="A16" s="13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30" ht="30" x14ac:dyDescent="0.25">
      <c r="A17" s="13"/>
      <c r="B17" s="13"/>
      <c r="C17" s="50" t="s">
        <v>50</v>
      </c>
      <c r="D17" s="20" t="s">
        <v>46</v>
      </c>
      <c r="E17" s="50" t="s">
        <v>81</v>
      </c>
      <c r="F17" s="20" t="s">
        <v>126</v>
      </c>
      <c r="G17" s="20" t="s">
        <v>66</v>
      </c>
      <c r="H17" s="20" t="s">
        <v>124</v>
      </c>
      <c r="I17" s="20" t="s">
        <v>53</v>
      </c>
      <c r="J17" s="20" t="s">
        <v>54</v>
      </c>
      <c r="K17" s="20" t="s">
        <v>98</v>
      </c>
      <c r="L17" s="20" t="s">
        <v>79</v>
      </c>
      <c r="M17" s="20" t="s">
        <v>67</v>
      </c>
      <c r="N17" s="20" t="s">
        <v>55</v>
      </c>
    </row>
    <row r="18" spans="1:30" x14ac:dyDescent="0.25">
      <c r="A18" s="13"/>
      <c r="B18" s="13"/>
      <c r="C18" s="22">
        <v>2014</v>
      </c>
      <c r="D18" s="59">
        <v>20929</v>
      </c>
      <c r="E18" s="67">
        <f>D18*(1-$E$14)</f>
        <v>13603.85</v>
      </c>
      <c r="F18" s="59">
        <v>2497</v>
      </c>
      <c r="G18" s="59">
        <v>14757</v>
      </c>
      <c r="H18" s="59">
        <v>71808</v>
      </c>
      <c r="I18" s="61">
        <v>59311</v>
      </c>
      <c r="J18" s="61">
        <v>25085</v>
      </c>
      <c r="K18" s="57">
        <f>H18+(I18-J18)</f>
        <v>106034</v>
      </c>
      <c r="L18" s="25">
        <f>E18/K18</f>
        <v>0.12829705566139163</v>
      </c>
      <c r="M18" s="62">
        <f>N12</f>
        <v>279318.11999999994</v>
      </c>
      <c r="N18" s="26">
        <f>M18/D18</f>
        <v>13.345984996894259</v>
      </c>
    </row>
    <row r="19" spans="1:30" x14ac:dyDescent="0.25">
      <c r="A19" s="13"/>
      <c r="C19" s="22">
        <v>2015</v>
      </c>
      <c r="D19" s="59">
        <v>18368</v>
      </c>
      <c r="E19" s="67">
        <f t="shared" ref="E19:E25" si="0">D19*(1-$E$14)</f>
        <v>11939.2</v>
      </c>
      <c r="F19" s="59">
        <v>2546</v>
      </c>
      <c r="G19" s="59">
        <v>15816</v>
      </c>
      <c r="H19" s="59">
        <v>73201</v>
      </c>
      <c r="I19" s="61">
        <v>60210</v>
      </c>
      <c r="J19" s="61">
        <v>27747</v>
      </c>
      <c r="K19" s="57">
        <f>H19+(I19-J19)</f>
        <v>105664</v>
      </c>
      <c r="L19" s="25">
        <f>E19/K19</f>
        <v>0.11299212598425197</v>
      </c>
      <c r="M19" s="62">
        <f>M12</f>
        <v>259200.29600000003</v>
      </c>
      <c r="N19" s="26">
        <f>M19/D19</f>
        <v>14.111514372822301</v>
      </c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x14ac:dyDescent="0.25">
      <c r="A20" s="13"/>
      <c r="B20" s="21" t="s">
        <v>48</v>
      </c>
      <c r="C20" s="27">
        <v>2016</v>
      </c>
      <c r="D20" s="58">
        <v>21350</v>
      </c>
      <c r="E20" s="67">
        <f t="shared" si="0"/>
        <v>13877.5</v>
      </c>
      <c r="F20" s="58">
        <v>2554</v>
      </c>
      <c r="G20" s="58">
        <v>15541</v>
      </c>
      <c r="H20" s="57">
        <v>76176</v>
      </c>
      <c r="I20" s="57">
        <v>65032</v>
      </c>
      <c r="J20" s="57">
        <v>26287</v>
      </c>
      <c r="K20" s="57">
        <f>H20+(I20-J20)</f>
        <v>114921</v>
      </c>
      <c r="L20" s="25">
        <f>E20/K20</f>
        <v>0.1207568677613317</v>
      </c>
      <c r="M20" s="24">
        <f>L12</f>
        <v>295899.33299999998</v>
      </c>
      <c r="N20" s="28">
        <f>M20/D20</f>
        <v>13.859453536299766</v>
      </c>
    </row>
    <row r="21" spans="1:30" x14ac:dyDescent="0.25">
      <c r="A21" s="13"/>
      <c r="B21" s="13">
        <v>1</v>
      </c>
      <c r="C21" s="27">
        <f t="shared" ref="C21:C24" si="1">C20+1</f>
        <v>2017</v>
      </c>
      <c r="D21" s="58">
        <v>23370.5</v>
      </c>
      <c r="E21" s="67">
        <f t="shared" si="0"/>
        <v>15190.825000000001</v>
      </c>
      <c r="F21" s="53">
        <v>3557.0999999999985</v>
      </c>
      <c r="G21" s="58">
        <v>18620</v>
      </c>
      <c r="J21" s="43"/>
      <c r="K21" s="24"/>
      <c r="L21" s="24"/>
      <c r="M21" s="24"/>
      <c r="N21" s="24"/>
      <c r="O21" s="25"/>
      <c r="P21" s="24"/>
      <c r="Q21" s="28"/>
    </row>
    <row r="22" spans="1:30" x14ac:dyDescent="0.25">
      <c r="A22" s="13"/>
      <c r="B22" s="13">
        <v>2</v>
      </c>
      <c r="C22" s="27">
        <f t="shared" si="1"/>
        <v>2018</v>
      </c>
      <c r="D22" s="58">
        <v>25336.400000000001</v>
      </c>
      <c r="E22" s="67">
        <f t="shared" si="0"/>
        <v>16468.66</v>
      </c>
      <c r="F22" s="53">
        <v>3847.2999999999993</v>
      </c>
      <c r="G22" s="60">
        <v>20909</v>
      </c>
      <c r="J22" s="43"/>
      <c r="K22" s="24"/>
      <c r="L22" s="24"/>
      <c r="M22" s="24"/>
      <c r="N22" s="24"/>
      <c r="O22" s="25"/>
      <c r="P22" s="24"/>
      <c r="Q22" s="28"/>
    </row>
    <row r="23" spans="1:30" x14ac:dyDescent="0.25">
      <c r="A23" s="13"/>
      <c r="B23" s="13">
        <v>3</v>
      </c>
      <c r="C23" s="27">
        <f t="shared" si="1"/>
        <v>2019</v>
      </c>
      <c r="D23" s="58">
        <v>26814.3</v>
      </c>
      <c r="E23" s="67">
        <f t="shared" si="0"/>
        <v>17429.295000000002</v>
      </c>
      <c r="F23" s="53">
        <v>3940.7999999999993</v>
      </c>
      <c r="G23" s="60">
        <v>22644</v>
      </c>
      <c r="J23" s="43"/>
      <c r="K23" s="24"/>
      <c r="L23" s="24"/>
      <c r="M23" s="24"/>
      <c r="N23" s="24"/>
      <c r="O23" s="25"/>
      <c r="P23" s="23"/>
      <c r="Q23" s="28"/>
    </row>
    <row r="24" spans="1:30" x14ac:dyDescent="0.25">
      <c r="A24" s="13"/>
      <c r="B24" s="13">
        <v>4</v>
      </c>
      <c r="C24" s="27">
        <f t="shared" si="1"/>
        <v>2020</v>
      </c>
      <c r="D24" s="58">
        <v>28425</v>
      </c>
      <c r="E24" s="67">
        <f t="shared" si="0"/>
        <v>18476.25</v>
      </c>
      <c r="F24" s="53">
        <v>3473.7999999999993</v>
      </c>
      <c r="G24" s="60">
        <f>(1+((E24-E23)/E23))*G23</f>
        <v>24004.195522538346</v>
      </c>
      <c r="J24" s="43"/>
      <c r="K24" s="24"/>
      <c r="L24" s="24"/>
      <c r="M24" s="24"/>
      <c r="N24" s="24"/>
      <c r="O24" s="25"/>
      <c r="P24" s="23"/>
      <c r="Q24" s="28"/>
    </row>
    <row r="25" spans="1:30" x14ac:dyDescent="0.25">
      <c r="A25" s="13"/>
      <c r="B25" s="32">
        <v>5</v>
      </c>
      <c r="C25" s="13">
        <v>2021</v>
      </c>
      <c r="D25" s="63">
        <v>30092.799999999999</v>
      </c>
      <c r="E25" s="63">
        <f t="shared" si="0"/>
        <v>19560.32</v>
      </c>
      <c r="F25" s="53">
        <v>5922.5000000000036</v>
      </c>
      <c r="G25" s="60">
        <f>(1+((E25-E24)/E24))*G24</f>
        <v>25412.610554815899</v>
      </c>
      <c r="J25" s="43"/>
      <c r="K25" s="13"/>
      <c r="L25" s="13"/>
      <c r="M25" s="13"/>
      <c r="N25" s="13"/>
      <c r="O25" s="13"/>
      <c r="P25" s="13"/>
      <c r="Q25" s="13"/>
    </row>
    <row r="26" spans="1:3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30" ht="18" x14ac:dyDescent="0.35">
      <c r="A27" s="13"/>
      <c r="B27" s="13"/>
      <c r="C27" s="74" t="s">
        <v>102</v>
      </c>
      <c r="D27" s="74"/>
      <c r="E27" s="74"/>
      <c r="F27" s="74"/>
      <c r="H27" s="74" t="s">
        <v>105</v>
      </c>
      <c r="I27" s="74"/>
      <c r="J27" s="74"/>
      <c r="K27" s="74"/>
      <c r="L27" s="74" t="s">
        <v>104</v>
      </c>
      <c r="M27" s="74"/>
      <c r="N27" s="74"/>
      <c r="O27" s="13"/>
      <c r="P27" s="13"/>
      <c r="Q27" s="13"/>
    </row>
    <row r="28" spans="1:30" ht="18" x14ac:dyDescent="0.35">
      <c r="A28" s="13"/>
      <c r="B28" s="13"/>
      <c r="C28" s="13"/>
      <c r="D28" s="50" t="s">
        <v>51</v>
      </c>
      <c r="E28" s="50" t="s">
        <v>58</v>
      </c>
      <c r="F28" s="29" t="s">
        <v>59</v>
      </c>
      <c r="H28" s="50" t="s">
        <v>52</v>
      </c>
      <c r="I28" s="50" t="s">
        <v>106</v>
      </c>
      <c r="J28" s="29" t="s">
        <v>61</v>
      </c>
      <c r="L28" s="29" t="s">
        <v>52</v>
      </c>
      <c r="M28" s="29" t="s">
        <v>60</v>
      </c>
      <c r="N28" s="29" t="s">
        <v>61</v>
      </c>
      <c r="O28" s="13"/>
      <c r="P28" s="13"/>
      <c r="Q28" s="13"/>
    </row>
    <row r="29" spans="1:30" x14ac:dyDescent="0.25">
      <c r="A29" s="13"/>
      <c r="B29" s="13"/>
      <c r="C29" s="13">
        <v>2017</v>
      </c>
      <c r="D29" s="30">
        <f>E21</f>
        <v>15190.825000000001</v>
      </c>
      <c r="E29" s="18">
        <f>D29/((1+$E$8)^(C21-$E$7))</f>
        <v>14003.857996238801</v>
      </c>
      <c r="F29" s="18">
        <f>E29</f>
        <v>14003.857996238801</v>
      </c>
      <c r="H29" s="30">
        <f>G21</f>
        <v>18620</v>
      </c>
      <c r="I29" s="18">
        <f>H29/((1+$E$8)^(C21-$E$7))</f>
        <v>17165.087208230394</v>
      </c>
      <c r="J29" s="18">
        <f>I29</f>
        <v>17165.087208230394</v>
      </c>
      <c r="L29" s="30">
        <f>G21</f>
        <v>18620</v>
      </c>
      <c r="M29" s="18">
        <f>L29/((1+$E$8)^(C21-$E$7))</f>
        <v>17165.087208230394</v>
      </c>
      <c r="N29" s="18">
        <f>M29</f>
        <v>17165.087208230394</v>
      </c>
      <c r="O29" s="13"/>
      <c r="P29" s="13"/>
      <c r="Q29" s="13"/>
    </row>
    <row r="30" spans="1:30" x14ac:dyDescent="0.25">
      <c r="A30" s="13"/>
      <c r="B30" s="13"/>
      <c r="C30" s="13">
        <v>2018</v>
      </c>
      <c r="D30" s="30">
        <f>E22</f>
        <v>16468.66</v>
      </c>
      <c r="E30" s="18">
        <f>D30/((1+$E$8)^(C22-$E$7))</f>
        <v>13995.581212215035</v>
      </c>
      <c r="F30" s="18">
        <f>F29+E30</f>
        <v>27999.439208453834</v>
      </c>
      <c r="H30" s="30">
        <f>G22</f>
        <v>20909</v>
      </c>
      <c r="I30" s="18">
        <f>H30/((1+$E$8)^(C22-$E$7))</f>
        <v>17769.120715723329</v>
      </c>
      <c r="J30" s="18">
        <f>J29+I30</f>
        <v>34934.207923953727</v>
      </c>
      <c r="L30" s="30">
        <f>G22</f>
        <v>20909</v>
      </c>
      <c r="M30" s="18">
        <f>L30/((1+$E$8)^(C22-$E$7))</f>
        <v>17769.120715723329</v>
      </c>
      <c r="N30" s="18">
        <f>N29+M30</f>
        <v>34934.207923953727</v>
      </c>
      <c r="O30" s="13"/>
      <c r="P30" s="13"/>
      <c r="Q30" s="13"/>
    </row>
    <row r="31" spans="1:30" x14ac:dyDescent="0.25">
      <c r="A31" s="13"/>
      <c r="B31" s="13"/>
      <c r="C31" s="13">
        <v>2019</v>
      </c>
      <c r="D31" s="30">
        <f>E23</f>
        <v>17429.295000000002</v>
      </c>
      <c r="E31" s="18">
        <f>D31/((1+$E$8)^(C23-$E$7))</f>
        <v>13654.595315226203</v>
      </c>
      <c r="F31" s="18">
        <f>F30+E31</f>
        <v>41654.034523680035</v>
      </c>
      <c r="H31" s="30">
        <f>G23</f>
        <v>22644</v>
      </c>
      <c r="I31" s="18">
        <f>H31/((1+$E$8)^(C23-$E$7))</f>
        <v>17739.940503501839</v>
      </c>
      <c r="J31" s="18">
        <f>J30+I31</f>
        <v>52674.14842745557</v>
      </c>
      <c r="L31" s="30">
        <f>G23</f>
        <v>22644</v>
      </c>
      <c r="M31" s="18">
        <f>L31/((1+$E$8)^(C23-$E$7))</f>
        <v>17739.940503501839</v>
      </c>
      <c r="N31" s="18">
        <f t="shared" ref="N31:N33" si="2">N30+M31</f>
        <v>52674.14842745557</v>
      </c>
      <c r="O31" s="13"/>
      <c r="P31" s="13"/>
      <c r="Q31" s="13"/>
    </row>
    <row r="32" spans="1:30" x14ac:dyDescent="0.25">
      <c r="A32" s="13"/>
      <c r="B32" s="13"/>
      <c r="C32" s="13">
        <v>2020</v>
      </c>
      <c r="D32" s="30">
        <f>E24</f>
        <v>18476.25</v>
      </c>
      <c r="E32" s="18">
        <f>D32/((1+$E$8)^(C24-$E$7))</f>
        <v>13343.789439432458</v>
      </c>
      <c r="F32" s="18">
        <f>F31+E32</f>
        <v>54997.823963112489</v>
      </c>
      <c r="H32" s="30">
        <f>G24</f>
        <v>24004.195522538346</v>
      </c>
      <c r="I32" s="18">
        <f>H32/((1+$E$8)^(C24-$E$7))</f>
        <v>17336.144007345596</v>
      </c>
      <c r="J32" s="18">
        <f>J31+I32</f>
        <v>70010.292434801173</v>
      </c>
      <c r="L32" s="30">
        <f>G24</f>
        <v>24004.195522538346</v>
      </c>
      <c r="M32" s="18">
        <f>L32/((1+$E$8)^(C24-$E$7))</f>
        <v>17336.144007345596</v>
      </c>
      <c r="N32" s="18">
        <f t="shared" si="2"/>
        <v>70010.292434801173</v>
      </c>
      <c r="O32" s="13"/>
      <c r="P32" s="13"/>
      <c r="Q32" s="13"/>
    </row>
    <row r="33" spans="1:17" x14ac:dyDescent="0.25">
      <c r="A33" s="13"/>
      <c r="B33" s="13"/>
      <c r="C33" s="13">
        <v>2021</v>
      </c>
      <c r="D33" s="30">
        <f>E25</f>
        <v>19560.32</v>
      </c>
      <c r="E33" s="18">
        <f>D33/((1+$E$8)^(C25-$E$7))</f>
        <v>13022.898128845431</v>
      </c>
      <c r="F33" s="18">
        <f>F32+E33</f>
        <v>68020.722091957927</v>
      </c>
      <c r="H33" s="30">
        <f>G25</f>
        <v>25412.610554815899</v>
      </c>
      <c r="I33" s="18">
        <f>H33/((1+$E$8)^(C25-$E$7))</f>
        <v>16919.244595353739</v>
      </c>
      <c r="J33" s="18">
        <f>J32+I33</f>
        <v>86929.537030154912</v>
      </c>
      <c r="L33" s="30">
        <f>G25</f>
        <v>25412.610554815899</v>
      </c>
      <c r="M33" s="18">
        <f>L33/((1+$E$8)^(C25-$E$7))</f>
        <v>16919.244595353739</v>
      </c>
      <c r="N33" s="18">
        <f t="shared" si="2"/>
        <v>86929.537030154912</v>
      </c>
      <c r="O33" s="13"/>
      <c r="P33" s="13"/>
      <c r="Q33" s="13"/>
    </row>
    <row r="34" spans="1:17" x14ac:dyDescent="0.25">
      <c r="A34" s="13"/>
      <c r="B34" s="13"/>
      <c r="C34" s="13"/>
      <c r="D34" s="30"/>
      <c r="E34" s="13"/>
      <c r="F34" s="13"/>
      <c r="L34" s="13"/>
      <c r="M34" s="13"/>
      <c r="N34" s="13"/>
      <c r="O34" s="13"/>
      <c r="P34" s="13"/>
      <c r="Q34" s="13"/>
    </row>
    <row r="35" spans="1:17" ht="18" x14ac:dyDescent="0.35">
      <c r="A35" s="13"/>
      <c r="B35" s="13"/>
      <c r="C35" s="13"/>
      <c r="D35" s="13"/>
      <c r="E35" s="14" t="s">
        <v>56</v>
      </c>
      <c r="F35" s="18">
        <f>F33</f>
        <v>68020.722091957927</v>
      </c>
      <c r="I35" s="14" t="s">
        <v>57</v>
      </c>
      <c r="J35" s="18">
        <f>J33</f>
        <v>86929.537030154912</v>
      </c>
      <c r="L35" s="13"/>
      <c r="M35" s="14" t="s">
        <v>57</v>
      </c>
      <c r="N35" s="18">
        <f>N33</f>
        <v>86929.537030154912</v>
      </c>
      <c r="O35" s="13"/>
      <c r="P35" s="13"/>
      <c r="Q35" s="13"/>
    </row>
    <row r="36" spans="1:17" ht="18" x14ac:dyDescent="0.35">
      <c r="A36" s="13"/>
      <c r="B36" s="13"/>
      <c r="C36" s="13"/>
      <c r="D36" s="13"/>
      <c r="E36" s="14" t="s">
        <v>62</v>
      </c>
      <c r="F36" s="18">
        <f>((D33*(1+E10))*(1-E10/L20))/(E8-E10)</f>
        <v>266040.2358160197</v>
      </c>
      <c r="I36" s="14" t="s">
        <v>62</v>
      </c>
      <c r="J36" s="18">
        <f>((E25*(1+E10))*(1-E10/L20))/(E8-E10)</f>
        <v>266040.2358160197</v>
      </c>
      <c r="L36" s="13"/>
      <c r="M36" s="14" t="s">
        <v>100</v>
      </c>
      <c r="N36" s="18">
        <f>(L33*(1+E10))/(E8-E10)</f>
        <v>435875.59937560733</v>
      </c>
      <c r="O36" s="13"/>
      <c r="P36" s="13"/>
      <c r="Q36" s="13"/>
    </row>
    <row r="37" spans="1:17" ht="18" x14ac:dyDescent="0.35">
      <c r="A37" s="13"/>
      <c r="B37" s="13"/>
      <c r="C37" s="13"/>
      <c r="D37" s="13"/>
      <c r="E37" s="14" t="s">
        <v>63</v>
      </c>
      <c r="F37" s="18">
        <f>F36/((1+E8)^(C25-E7))</f>
        <v>177124.65282807441</v>
      </c>
      <c r="I37" s="14" t="s">
        <v>63</v>
      </c>
      <c r="J37" s="18">
        <f>J36/((1+E8)^(C25-E7))</f>
        <v>177124.65282807441</v>
      </c>
      <c r="L37" s="13"/>
      <c r="M37" s="14" t="s">
        <v>63</v>
      </c>
      <c r="N37" s="18">
        <f>N36/((1+E8)^(C25-E7))</f>
        <v>290197.88671749632</v>
      </c>
      <c r="O37" s="13"/>
      <c r="P37" s="13"/>
      <c r="Q37" s="13"/>
    </row>
    <row r="38" spans="1:17" ht="18" x14ac:dyDescent="0.35">
      <c r="A38" s="13"/>
      <c r="B38" s="13"/>
      <c r="C38" s="13"/>
      <c r="D38" s="13"/>
      <c r="E38" s="14" t="s">
        <v>102</v>
      </c>
      <c r="F38" s="18">
        <f>F35+F37</f>
        <v>245145.37492003234</v>
      </c>
      <c r="I38" s="14" t="s">
        <v>105</v>
      </c>
      <c r="J38" s="18">
        <f>J35+J37</f>
        <v>264054.18985822931</v>
      </c>
      <c r="L38" s="13"/>
      <c r="M38" s="14" t="s">
        <v>21</v>
      </c>
      <c r="N38" s="18">
        <f>N35+N37</f>
        <v>377127.42374765122</v>
      </c>
      <c r="O38" s="13"/>
      <c r="P38" s="13"/>
      <c r="Q38" s="13"/>
    </row>
    <row r="39" spans="1:17" x14ac:dyDescent="0.25">
      <c r="A39" s="13"/>
      <c r="B39" s="13"/>
      <c r="C39" s="13"/>
      <c r="D39" s="13"/>
      <c r="E39" s="13"/>
      <c r="F39" s="14"/>
      <c r="G39" s="18"/>
      <c r="L39" s="13"/>
      <c r="M39" s="14"/>
      <c r="N39" s="18"/>
      <c r="O39" s="13"/>
      <c r="P39" s="13"/>
      <c r="Q39" s="13"/>
    </row>
    <row r="40" spans="1:17" x14ac:dyDescent="0.25">
      <c r="A40" s="13"/>
      <c r="B40" s="13"/>
      <c r="C40" s="13"/>
      <c r="D40" s="13"/>
      <c r="E40" s="13"/>
      <c r="F40" s="14"/>
      <c r="G40" s="18"/>
      <c r="L40" s="13"/>
      <c r="M40" s="14"/>
      <c r="N40" s="18"/>
      <c r="O40" s="13"/>
      <c r="P40" s="13"/>
      <c r="Q40" s="13"/>
    </row>
    <row r="41" spans="1:17" ht="18" customHeight="1" x14ac:dyDescent="0.35">
      <c r="A41" s="13"/>
      <c r="B41" s="13"/>
      <c r="D41" s="70" t="s">
        <v>85</v>
      </c>
      <c r="E41" s="14" t="s">
        <v>101</v>
      </c>
      <c r="F41" s="18">
        <f>D25*(1+E10)*N20</f>
        <v>427496.50746159058</v>
      </c>
      <c r="I41" s="14" t="s">
        <v>101</v>
      </c>
      <c r="J41" s="18">
        <f>D25*(1+E10)*N20</f>
        <v>427496.50746159058</v>
      </c>
      <c r="L41" s="13"/>
      <c r="M41" s="14" t="s">
        <v>101</v>
      </c>
      <c r="N41" s="18">
        <f>D25*(1+E10)*N20</f>
        <v>427496.50746159058</v>
      </c>
      <c r="O41" s="13"/>
      <c r="P41" s="13"/>
      <c r="Q41" s="13"/>
    </row>
    <row r="42" spans="1:17" ht="18" customHeight="1" x14ac:dyDescent="0.35">
      <c r="A42" s="13"/>
      <c r="B42" s="13"/>
      <c r="D42" s="70"/>
      <c r="E42" s="14" t="s">
        <v>63</v>
      </c>
      <c r="F42" s="18">
        <f>F41/((1+$E$8)^($C$25-$E$7))</f>
        <v>284619.24278894748</v>
      </c>
      <c r="I42" s="14" t="s">
        <v>63</v>
      </c>
      <c r="J42" s="18">
        <f>J41/((1+$E$8)^($C$25-$E$7))</f>
        <v>284619.24278894748</v>
      </c>
      <c r="L42" s="13"/>
      <c r="M42" s="14" t="s">
        <v>63</v>
      </c>
      <c r="N42" s="18">
        <f>N41/((1+$E$8)^($C$25-$E$7))</f>
        <v>284619.24278894748</v>
      </c>
      <c r="O42" s="13"/>
      <c r="P42" s="13"/>
      <c r="Q42" s="13"/>
    </row>
    <row r="43" spans="1:17" ht="18" x14ac:dyDescent="0.35">
      <c r="A43" s="13"/>
      <c r="B43" s="13"/>
      <c r="D43" s="70"/>
      <c r="E43" s="14" t="s">
        <v>103</v>
      </c>
      <c r="F43" s="30">
        <f>F35+F42</f>
        <v>352639.96488090541</v>
      </c>
      <c r="I43" s="14" t="s">
        <v>107</v>
      </c>
      <c r="J43" s="30">
        <f>J35+J42</f>
        <v>371548.77981910238</v>
      </c>
      <c r="L43" s="13"/>
      <c r="M43" s="14" t="s">
        <v>107</v>
      </c>
      <c r="N43" s="18">
        <f>N33+N42</f>
        <v>371548.77981910238</v>
      </c>
      <c r="O43" s="13"/>
      <c r="P43" s="13"/>
      <c r="Q43" s="13"/>
    </row>
    <row r="44" spans="1:17" x14ac:dyDescent="0.25">
      <c r="A44" s="13"/>
      <c r="B44" s="13"/>
      <c r="C44" s="13"/>
      <c r="E44" s="13"/>
      <c r="F44" s="13"/>
      <c r="G44" s="13"/>
      <c r="L44" s="13"/>
      <c r="M44" s="13"/>
      <c r="N44" s="13"/>
      <c r="O44" s="13"/>
      <c r="P44" s="13"/>
      <c r="Q44" s="13"/>
    </row>
    <row r="45" spans="1:17" x14ac:dyDescent="0.25">
      <c r="A45" s="13"/>
      <c r="B45" s="13"/>
      <c r="C45" s="13"/>
      <c r="D45" s="13"/>
      <c r="E45" s="13"/>
      <c r="F45" s="14"/>
      <c r="G45" s="13"/>
      <c r="L45" s="13"/>
      <c r="M45" s="13"/>
      <c r="N45" s="13"/>
      <c r="O45" s="13"/>
      <c r="P45" s="13"/>
      <c r="Q45" s="13"/>
    </row>
    <row r="46" spans="1:17" ht="18" customHeight="1" x14ac:dyDescent="0.35">
      <c r="A46" s="13"/>
      <c r="B46" s="13"/>
      <c r="D46" s="70" t="s">
        <v>86</v>
      </c>
      <c r="E46" s="14" t="s">
        <v>101</v>
      </c>
      <c r="F46" s="30">
        <f>$D25*(1+$E$10)*$E$13</f>
        <v>462676.79999999993</v>
      </c>
      <c r="I46" s="14" t="s">
        <v>101</v>
      </c>
      <c r="J46" s="30">
        <f>$D25*(1+$E$10)*$E$13</f>
        <v>462676.79999999993</v>
      </c>
      <c r="L46" s="13"/>
      <c r="M46" s="14" t="s">
        <v>101</v>
      </c>
      <c r="N46" s="30">
        <f>$D25*(1+$E$10)*$E$13</f>
        <v>462676.79999999993</v>
      </c>
      <c r="O46" s="13"/>
      <c r="P46" s="13"/>
      <c r="Q46" s="13"/>
    </row>
    <row r="47" spans="1:17" ht="18" x14ac:dyDescent="0.35">
      <c r="A47" s="13"/>
      <c r="B47" s="13"/>
      <c r="D47" s="70"/>
      <c r="E47" s="14" t="s">
        <v>63</v>
      </c>
      <c r="F47" s="18">
        <f>F46/((1+$E$8)^($C$25-$E$7))</f>
        <v>308041.62881692074</v>
      </c>
      <c r="I47" s="14" t="s">
        <v>63</v>
      </c>
      <c r="J47" s="18">
        <f>J46/((1+$E$8)^($C$25-$E$7))</f>
        <v>308041.62881692074</v>
      </c>
      <c r="L47" s="13"/>
      <c r="M47" s="14" t="s">
        <v>63</v>
      </c>
      <c r="N47" s="18">
        <f>N46/((1+$E$8)^($C$25-$E$7))</f>
        <v>308041.62881692074</v>
      </c>
      <c r="O47" s="13"/>
      <c r="P47" s="13"/>
      <c r="Q47" s="13"/>
    </row>
    <row r="48" spans="1:17" ht="18" x14ac:dyDescent="0.35">
      <c r="A48" s="13"/>
      <c r="B48" s="13"/>
      <c r="D48" s="70"/>
      <c r="E48" s="14" t="s">
        <v>103</v>
      </c>
      <c r="F48" s="30">
        <f>F35+F47</f>
        <v>376062.35090887867</v>
      </c>
      <c r="I48" s="14" t="s">
        <v>107</v>
      </c>
      <c r="J48" s="30">
        <f>J35+J47</f>
        <v>394971.16584707564</v>
      </c>
      <c r="L48" s="13"/>
      <c r="M48" s="14" t="s">
        <v>107</v>
      </c>
      <c r="N48" s="30">
        <f>N35+N47</f>
        <v>394971.16584707564</v>
      </c>
      <c r="O48" s="13"/>
      <c r="P48" s="13"/>
      <c r="Q48" s="13"/>
    </row>
    <row r="49" spans="1:17" x14ac:dyDescent="0.25">
      <c r="A49" s="13"/>
      <c r="B49" s="13"/>
      <c r="C49" s="13"/>
      <c r="D49" s="13"/>
      <c r="E49" s="13"/>
      <c r="F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3"/>
      <c r="L50" s="13"/>
      <c r="M50" s="13"/>
      <c r="N50" s="13"/>
      <c r="O50" s="13"/>
      <c r="P50" s="13"/>
      <c r="Q50" s="13"/>
    </row>
    <row r="51" spans="1:17" ht="18" customHeight="1" x14ac:dyDescent="0.35">
      <c r="A51" s="13"/>
      <c r="B51" s="13"/>
      <c r="D51" s="70" t="s">
        <v>87</v>
      </c>
      <c r="E51" s="14" t="s">
        <v>101</v>
      </c>
      <c r="F51" s="30">
        <f>$D25*(1+$E$10)*$H$13</f>
        <v>266040.2358160197</v>
      </c>
      <c r="I51" s="14" t="s">
        <v>101</v>
      </c>
      <c r="J51" s="30">
        <f>$D25*(1+$E$10)*$H$13</f>
        <v>266040.2358160197</v>
      </c>
      <c r="L51" s="13"/>
      <c r="M51" s="14" t="s">
        <v>101</v>
      </c>
      <c r="N51" s="30">
        <f>$D25*(1+$E$10)*$H$13</f>
        <v>266040.2358160197</v>
      </c>
      <c r="O51" s="13"/>
      <c r="P51" s="13"/>
      <c r="Q51" s="13"/>
    </row>
    <row r="52" spans="1:17" ht="18" x14ac:dyDescent="0.35">
      <c r="A52" s="13"/>
      <c r="B52" s="13"/>
      <c r="D52" s="70"/>
      <c r="E52" s="14" t="s">
        <v>63</v>
      </c>
      <c r="F52" s="18">
        <f>F51/((1+$E$8)^($C$25-$E$7))</f>
        <v>177124.65282807441</v>
      </c>
      <c r="I52" s="14" t="s">
        <v>63</v>
      </c>
      <c r="J52" s="18">
        <f>J51/((1+$E$8)^($C$25-$E$7))</f>
        <v>177124.65282807441</v>
      </c>
      <c r="L52" s="13"/>
      <c r="M52" s="14" t="s">
        <v>63</v>
      </c>
      <c r="N52" s="18">
        <f>N51/((1+$E$8)^($C$25-$E$7))</f>
        <v>177124.65282807441</v>
      </c>
      <c r="O52" s="13"/>
      <c r="P52" s="13"/>
      <c r="Q52" s="13"/>
    </row>
    <row r="53" spans="1:17" ht="18" x14ac:dyDescent="0.35">
      <c r="A53" s="13"/>
      <c r="B53" s="13"/>
      <c r="D53" s="70"/>
      <c r="E53" s="14" t="s">
        <v>103</v>
      </c>
      <c r="F53" s="30">
        <f>F35+F52</f>
        <v>245145.37492003234</v>
      </c>
      <c r="I53" s="14" t="s">
        <v>107</v>
      </c>
      <c r="J53" s="30">
        <f>J35+J52</f>
        <v>264054.18985822931</v>
      </c>
      <c r="L53" s="13"/>
      <c r="M53" s="14" t="s">
        <v>107</v>
      </c>
      <c r="N53" s="30">
        <f>N35+N52</f>
        <v>264054.18985822931</v>
      </c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7.25" x14ac:dyDescent="0.25">
      <c r="A56" s="13"/>
      <c r="B56" s="13"/>
      <c r="C56" s="13"/>
      <c r="D56" s="15" t="s">
        <v>65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7.25" x14ac:dyDescent="0.25">
      <c r="A57" s="13"/>
      <c r="B57" s="13"/>
      <c r="C57" s="13"/>
      <c r="D57" s="13" t="s">
        <v>125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7.25" x14ac:dyDescent="0.25">
      <c r="A58" s="13"/>
      <c r="B58" s="13"/>
      <c r="C58" s="13"/>
      <c r="D58" s="13" t="s">
        <v>70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7.25" x14ac:dyDescent="0.25">
      <c r="A59" s="13"/>
      <c r="B59" s="13"/>
      <c r="C59" s="13"/>
      <c r="D59" s="13" t="s">
        <v>99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13"/>
      <c r="C60" s="13"/>
      <c r="D60" s="13" t="s">
        <v>71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13"/>
      <c r="C61" s="13"/>
      <c r="D61" s="13" t="s">
        <v>94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7.25" x14ac:dyDescent="0.25">
      <c r="A62" s="13"/>
      <c r="B62" s="13"/>
      <c r="C62" s="13"/>
      <c r="D62" s="13" t="s">
        <v>84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7.25" x14ac:dyDescent="0.25">
      <c r="A63" s="13"/>
      <c r="B63" s="13"/>
      <c r="C63" s="13"/>
      <c r="D63" s="13" t="s">
        <v>80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7.25" x14ac:dyDescent="0.25">
      <c r="D64" s="44" t="s">
        <v>83</v>
      </c>
    </row>
    <row r="65" spans="4:4" ht="17.25" x14ac:dyDescent="0.25">
      <c r="D65" s="13" t="s">
        <v>82</v>
      </c>
    </row>
    <row r="66" spans="4:4" ht="17.25" x14ac:dyDescent="0.25">
      <c r="D66" s="13" t="s">
        <v>88</v>
      </c>
    </row>
    <row r="67" spans="4:4" ht="17.25" x14ac:dyDescent="0.25">
      <c r="D67" s="13" t="s">
        <v>89</v>
      </c>
    </row>
    <row r="68" spans="4:4" ht="17.25" x14ac:dyDescent="0.25">
      <c r="D68" s="13" t="s">
        <v>108</v>
      </c>
    </row>
    <row r="69" spans="4:4" ht="17.25" x14ac:dyDescent="0.25">
      <c r="D69" s="13" t="s">
        <v>90</v>
      </c>
    </row>
    <row r="70" spans="4:4" ht="17.25" x14ac:dyDescent="0.25">
      <c r="D70" t="s">
        <v>128</v>
      </c>
    </row>
    <row r="71" spans="4:4" ht="18.75" x14ac:dyDescent="0.35">
      <c r="D71" s="13" t="s">
        <v>96</v>
      </c>
    </row>
    <row r="72" spans="4:4" ht="17.25" x14ac:dyDescent="0.25">
      <c r="D72" s="13" t="s">
        <v>123</v>
      </c>
    </row>
  </sheetData>
  <mergeCells count="13">
    <mergeCell ref="I9:K9"/>
    <mergeCell ref="C2:P2"/>
    <mergeCell ref="C3:P3"/>
    <mergeCell ref="C4:P4"/>
    <mergeCell ref="I7:K7"/>
    <mergeCell ref="H8:K8"/>
    <mergeCell ref="D51:D53"/>
    <mergeCell ref="F13:G13"/>
    <mergeCell ref="C27:F27"/>
    <mergeCell ref="H27:K27"/>
    <mergeCell ref="L27:N27"/>
    <mergeCell ref="D41:D43"/>
    <mergeCell ref="D46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Concensus Estimates</vt:lpstr>
      <vt:lpstr>Tax Estimator</vt:lpstr>
      <vt:lpstr>Valuation g = IR x ROIC</vt:lpstr>
      <vt:lpstr>Valuation g = % ∆ GDP 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keywords/>
  <cp:lastModifiedBy>Anyone</cp:lastModifiedBy>
  <dcterms:created xsi:type="dcterms:W3CDTF">2016-11-14T23:10:40Z</dcterms:created>
  <dcterms:modified xsi:type="dcterms:W3CDTF">2017-04-26T14:15:27Z</dcterms:modified>
</cp:coreProperties>
</file>