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haskell\OneDrive\ICP - ICC\ICP Financials\"/>
    </mc:Choice>
  </mc:AlternateContent>
  <bookViews>
    <workbookView xWindow="0" yWindow="0" windowWidth="28800" windowHeight="14235" activeTab="2"/>
  </bookViews>
  <sheets>
    <sheet name="Financial Stmt" sheetId="1" r:id="rId1"/>
    <sheet name="Rev Forecast" sheetId="9" r:id="rId2"/>
    <sheet name="VAL without adjust" sheetId="3" r:id="rId3"/>
    <sheet name="VAL with adjust" sheetId="11" r:id="rId4"/>
    <sheet name="NPV MIRR &amp; IRR with adjust" sheetId="13" r:id="rId5"/>
    <sheet name="Pre 2018 Tax" sheetId="5" r:id="rId6"/>
    <sheet name="Post 2017 Tax" sheetId="7" r:id="rId7"/>
  </sheets>
  <externalReferences>
    <externalReference r:id="rId8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3" i="9" l="1"/>
  <c r="K43" i="9"/>
  <c r="K33" i="9"/>
  <c r="K23" i="9"/>
  <c r="M13" i="9"/>
  <c r="K13" i="9"/>
  <c r="M7" i="3"/>
  <c r="M7" i="11" s="1"/>
  <c r="K7" i="3"/>
  <c r="I7" i="3"/>
  <c r="Q65" i="1"/>
  <c r="Q64" i="1"/>
  <c r="I7" i="11"/>
  <c r="O63" i="13" l="1"/>
  <c r="R63" i="13"/>
  <c r="E67" i="13" s="1"/>
  <c r="B68" i="13"/>
  <c r="B67" i="13"/>
  <c r="Y56" i="13"/>
  <c r="V56" i="13"/>
  <c r="S54" i="13"/>
  <c r="B42" i="13"/>
  <c r="B43" i="13" s="1"/>
  <c r="B44" i="13" s="1"/>
  <c r="E23" i="13"/>
  <c r="E22" i="13"/>
  <c r="E21" i="13"/>
  <c r="B20" i="13"/>
  <c r="B21" i="13" s="1"/>
  <c r="B22" i="13" s="1"/>
  <c r="B23" i="13" s="1"/>
  <c r="B24" i="13" s="1"/>
  <c r="B25" i="13" s="1"/>
  <c r="B26" i="13" s="1"/>
  <c r="B27" i="13" s="1"/>
  <c r="B28" i="13" s="1"/>
  <c r="E19" i="13"/>
  <c r="R14" i="13"/>
  <c r="Q14" i="13"/>
  <c r="P14" i="13"/>
  <c r="O14" i="13"/>
  <c r="N14" i="13"/>
  <c r="M14" i="13"/>
  <c r="L14" i="13"/>
  <c r="K14" i="13"/>
  <c r="J14" i="13"/>
  <c r="I14" i="13"/>
  <c r="H14" i="13"/>
  <c r="G14" i="13"/>
  <c r="F14" i="13"/>
  <c r="E14" i="13"/>
  <c r="W14" i="13" s="1"/>
  <c r="K13" i="13"/>
  <c r="J13" i="13"/>
  <c r="I13" i="13"/>
  <c r="H13" i="13"/>
  <c r="G13" i="13"/>
  <c r="F13" i="13"/>
  <c r="K7" i="13"/>
  <c r="E7" i="13"/>
  <c r="E6" i="13"/>
  <c r="E5" i="13"/>
  <c r="B5" i="13"/>
  <c r="K4" i="13"/>
  <c r="D14" i="13" s="1"/>
  <c r="J4" i="13"/>
  <c r="E4" i="13"/>
  <c r="K3" i="13"/>
  <c r="C14" i="13" s="1"/>
  <c r="C40" i="13" s="1"/>
  <c r="J3" i="13"/>
  <c r="B1" i="13"/>
  <c r="Q59" i="1"/>
  <c r="N67" i="13" l="1"/>
  <c r="T67" i="13"/>
  <c r="H16" i="13"/>
  <c r="H22" i="13" s="1"/>
  <c r="L16" i="13"/>
  <c r="L21" i="13" s="1"/>
  <c r="B69" i="13"/>
  <c r="H67" i="13"/>
  <c r="Z67" i="13"/>
  <c r="T14" i="13"/>
  <c r="U14" i="13" s="1"/>
  <c r="D40" i="13" s="1"/>
  <c r="W67" i="13"/>
  <c r="K67" i="13"/>
  <c r="G16" i="13"/>
  <c r="G23" i="13" s="1"/>
  <c r="K16" i="13"/>
  <c r="W22" i="13"/>
  <c r="B70" i="13"/>
  <c r="S14" i="13"/>
  <c r="J40" i="13" s="1"/>
  <c r="B45" i="13"/>
  <c r="B71" i="13"/>
  <c r="I16" i="13"/>
  <c r="Q19" i="13"/>
  <c r="Y54" i="13"/>
  <c r="F16" i="13"/>
  <c r="F19" i="13" s="1"/>
  <c r="J16" i="13"/>
  <c r="J19" i="13" s="1"/>
  <c r="N16" i="13"/>
  <c r="N19" i="13" s="1"/>
  <c r="P41" i="13" s="1"/>
  <c r="R19" i="13"/>
  <c r="V54" i="13"/>
  <c r="E10" i="13"/>
  <c r="Y14" i="13"/>
  <c r="X14" i="13"/>
  <c r="J10" i="13"/>
  <c r="W23" i="13"/>
  <c r="W19" i="13"/>
  <c r="P40" i="13"/>
  <c r="C19" i="13"/>
  <c r="Y56" i="11"/>
  <c r="V56" i="11"/>
  <c r="S54" i="11"/>
  <c r="V54" i="11" s="1"/>
  <c r="B42" i="11"/>
  <c r="B43" i="11" s="1"/>
  <c r="B44" i="11" s="1"/>
  <c r="B45" i="11" s="1"/>
  <c r="B46" i="11" s="1"/>
  <c r="B47" i="11" s="1"/>
  <c r="B48" i="11" s="1"/>
  <c r="B49" i="11" s="1"/>
  <c r="B50" i="11" s="1"/>
  <c r="B20" i="11"/>
  <c r="B21" i="11" s="1"/>
  <c r="B22" i="11" s="1"/>
  <c r="B23" i="11" s="1"/>
  <c r="B24" i="11" s="1"/>
  <c r="R14" i="11"/>
  <c r="Q14" i="11"/>
  <c r="P14" i="11"/>
  <c r="T14" i="11" s="1"/>
  <c r="O14" i="11"/>
  <c r="N14" i="11"/>
  <c r="M14" i="11"/>
  <c r="L14" i="11"/>
  <c r="K14" i="11"/>
  <c r="J14" i="11"/>
  <c r="I14" i="11"/>
  <c r="H14" i="11"/>
  <c r="G14" i="11"/>
  <c r="F14" i="11"/>
  <c r="E14" i="11"/>
  <c r="K13" i="11"/>
  <c r="J13" i="11"/>
  <c r="I13" i="11"/>
  <c r="H13" i="11"/>
  <c r="G13" i="11"/>
  <c r="F13" i="11"/>
  <c r="E7" i="11"/>
  <c r="E6" i="11"/>
  <c r="E5" i="11"/>
  <c r="B5" i="11"/>
  <c r="K4" i="11"/>
  <c r="D14" i="11" s="1"/>
  <c r="Y14" i="11" s="1"/>
  <c r="J4" i="11"/>
  <c r="E4" i="11"/>
  <c r="K3" i="11"/>
  <c r="C14" i="11" s="1"/>
  <c r="J3" i="11"/>
  <c r="B1" i="11"/>
  <c r="J39" i="1"/>
  <c r="I39" i="1"/>
  <c r="H39" i="1"/>
  <c r="E39" i="1"/>
  <c r="J38" i="1"/>
  <c r="I38" i="1"/>
  <c r="H38" i="1"/>
  <c r="E38" i="1"/>
  <c r="J37" i="1"/>
  <c r="I37" i="1"/>
  <c r="H37" i="1"/>
  <c r="E37" i="1"/>
  <c r="J36" i="1"/>
  <c r="I36" i="1"/>
  <c r="H36" i="1"/>
  <c r="E36" i="1"/>
  <c r="J35" i="1"/>
  <c r="I35" i="1"/>
  <c r="H35" i="1"/>
  <c r="E35" i="1"/>
  <c r="J34" i="1"/>
  <c r="I34" i="1"/>
  <c r="H34" i="1"/>
  <c r="E34" i="1"/>
  <c r="J33" i="1"/>
  <c r="I33" i="1"/>
  <c r="H33" i="1"/>
  <c r="E33" i="1"/>
  <c r="Z43" i="1"/>
  <c r="Y43" i="1"/>
  <c r="X43" i="1"/>
  <c r="Y39" i="1"/>
  <c r="Y42" i="1" s="1"/>
  <c r="X39" i="1"/>
  <c r="X42" i="1" s="1"/>
  <c r="Z39" i="1"/>
  <c r="Z42" i="1" s="1"/>
  <c r="AA43" i="1"/>
  <c r="K39" i="1" s="1"/>
  <c r="AB43" i="1"/>
  <c r="L39" i="1"/>
  <c r="L36" i="1"/>
  <c r="K36" i="1"/>
  <c r="K34" i="1"/>
  <c r="L34" i="1"/>
  <c r="K7" i="11"/>
  <c r="B43" i="3"/>
  <c r="B44" i="3" s="1"/>
  <c r="B45" i="3" s="1"/>
  <c r="B46" i="3" s="1"/>
  <c r="B47" i="3" s="1"/>
  <c r="B48" i="3" s="1"/>
  <c r="B49" i="3" s="1"/>
  <c r="B50" i="3" s="1"/>
  <c r="B42" i="3"/>
  <c r="L13" i="1"/>
  <c r="K13" i="1"/>
  <c r="U14" i="11" l="1"/>
  <c r="D40" i="11" s="1"/>
  <c r="N16" i="11"/>
  <c r="I16" i="11"/>
  <c r="G19" i="13"/>
  <c r="H21" i="13"/>
  <c r="L19" i="13"/>
  <c r="L22" i="13"/>
  <c r="L23" i="13"/>
  <c r="G21" i="13"/>
  <c r="H19" i="13"/>
  <c r="H23" i="13"/>
  <c r="V40" i="13"/>
  <c r="F22" i="13"/>
  <c r="F21" i="13"/>
  <c r="F23" i="13"/>
  <c r="I21" i="13"/>
  <c r="I23" i="13"/>
  <c r="J22" i="13"/>
  <c r="G40" i="13"/>
  <c r="K19" i="13"/>
  <c r="I22" i="13"/>
  <c r="J23" i="13"/>
  <c r="J21" i="13"/>
  <c r="K22" i="13"/>
  <c r="K23" i="13"/>
  <c r="G22" i="13"/>
  <c r="K21" i="13"/>
  <c r="I19" i="13"/>
  <c r="O19" i="13"/>
  <c r="X19" i="13" s="1"/>
  <c r="S40" i="13"/>
  <c r="M40" i="13"/>
  <c r="Y40" i="13"/>
  <c r="B46" i="13"/>
  <c r="B72" i="13"/>
  <c r="Q41" i="13"/>
  <c r="P68" i="13"/>
  <c r="C41" i="13"/>
  <c r="C68" i="13" s="1"/>
  <c r="C20" i="13"/>
  <c r="C40" i="11"/>
  <c r="C19" i="11"/>
  <c r="N19" i="11"/>
  <c r="P41" i="11" s="1"/>
  <c r="Q41" i="11" s="1"/>
  <c r="R41" i="11" s="1"/>
  <c r="B25" i="11"/>
  <c r="B26" i="11" s="1"/>
  <c r="B27" i="11" s="1"/>
  <c r="B28" i="11" s="1"/>
  <c r="G16" i="11"/>
  <c r="K16" i="11"/>
  <c r="H16" i="11"/>
  <c r="L16" i="11"/>
  <c r="E10" i="11"/>
  <c r="X14" i="11"/>
  <c r="W14" i="11"/>
  <c r="S14" i="11"/>
  <c r="F16" i="11"/>
  <c r="J16" i="11"/>
  <c r="P40" i="11"/>
  <c r="J10" i="11"/>
  <c r="Y54" i="11"/>
  <c r="D19" i="13" l="1"/>
  <c r="Y19" i="13" s="1"/>
  <c r="M21" i="13"/>
  <c r="P21" i="13" s="1"/>
  <c r="M22" i="13"/>
  <c r="P22" i="13" s="1"/>
  <c r="M19" i="13"/>
  <c r="P19" i="13" s="1"/>
  <c r="S19" i="13" s="1"/>
  <c r="M41" i="13" s="1"/>
  <c r="O68" i="13" s="1"/>
  <c r="N68" i="13" s="1"/>
  <c r="M23" i="13"/>
  <c r="P23" i="13" s="1"/>
  <c r="R41" i="13"/>
  <c r="B47" i="13"/>
  <c r="B73" i="13"/>
  <c r="C42" i="13"/>
  <c r="C69" i="13" s="1"/>
  <c r="C21" i="13"/>
  <c r="V40" i="11"/>
  <c r="J40" i="11"/>
  <c r="G40" i="11"/>
  <c r="Y40" i="11"/>
  <c r="S40" i="11"/>
  <c r="M40" i="11"/>
  <c r="C41" i="11"/>
  <c r="C20" i="11"/>
  <c r="N20" i="13" l="1"/>
  <c r="P42" i="13" s="1"/>
  <c r="V41" i="13"/>
  <c r="W41" i="13" s="1"/>
  <c r="Y41" i="13"/>
  <c r="Z41" i="13" s="1"/>
  <c r="G41" i="13"/>
  <c r="H41" i="13" s="1"/>
  <c r="J41" i="13"/>
  <c r="K41" i="13" s="1"/>
  <c r="S41" i="13"/>
  <c r="T41" i="13" s="1"/>
  <c r="N41" i="13"/>
  <c r="O41" i="13" s="1"/>
  <c r="T19" i="13"/>
  <c r="U19" i="13" s="1"/>
  <c r="D41" i="13" s="1"/>
  <c r="E68" i="13" s="1"/>
  <c r="B48" i="13"/>
  <c r="B74" i="13"/>
  <c r="Q42" i="13"/>
  <c r="P69" i="13"/>
  <c r="C43" i="13"/>
  <c r="C70" i="13" s="1"/>
  <c r="C22" i="13"/>
  <c r="C42" i="11"/>
  <c r="C21" i="11"/>
  <c r="Z68" i="13" l="1"/>
  <c r="E41" i="13"/>
  <c r="F41" i="13" s="1"/>
  <c r="W68" i="13"/>
  <c r="H68" i="13"/>
  <c r="T68" i="13"/>
  <c r="K68" i="13"/>
  <c r="R42" i="13"/>
  <c r="I41" i="13"/>
  <c r="AA41" i="13"/>
  <c r="U41" i="13"/>
  <c r="L41" i="13"/>
  <c r="B49" i="13"/>
  <c r="B75" i="13"/>
  <c r="X41" i="13"/>
  <c r="C44" i="13"/>
  <c r="C71" i="13" s="1"/>
  <c r="C23" i="13"/>
  <c r="C43" i="11"/>
  <c r="C22" i="11"/>
  <c r="B50" i="13" l="1"/>
  <c r="B77" i="13" s="1"/>
  <c r="B76" i="13"/>
  <c r="C45" i="13"/>
  <c r="C72" i="13" s="1"/>
  <c r="C24" i="13"/>
  <c r="C44" i="11"/>
  <c r="C23" i="11"/>
  <c r="C46" i="13" l="1"/>
  <c r="C73" i="13" s="1"/>
  <c r="C25" i="13"/>
  <c r="C45" i="11"/>
  <c r="C24" i="11"/>
  <c r="C47" i="13" l="1"/>
  <c r="C74" i="13" s="1"/>
  <c r="C26" i="13"/>
  <c r="C46" i="11"/>
  <c r="C25" i="11"/>
  <c r="C48" i="13" l="1"/>
  <c r="C75" i="13" s="1"/>
  <c r="C27" i="13"/>
  <c r="C47" i="11"/>
  <c r="C26" i="11"/>
  <c r="C49" i="13" l="1"/>
  <c r="C76" i="13" s="1"/>
  <c r="C28" i="13"/>
  <c r="C48" i="11"/>
  <c r="C27" i="11"/>
  <c r="C50" i="13" l="1"/>
  <c r="C77" i="13" s="1"/>
  <c r="C29" i="13"/>
  <c r="C51" i="13" s="1"/>
  <c r="C49" i="11"/>
  <c r="C28" i="11"/>
  <c r="C50" i="11" l="1"/>
  <c r="C29" i="11"/>
  <c r="C51" i="11" s="1"/>
  <c r="J52" i="9" l="1"/>
  <c r="J51" i="9"/>
  <c r="J50" i="9"/>
  <c r="J49" i="9"/>
  <c r="J48" i="9"/>
  <c r="J47" i="9"/>
  <c r="J46" i="9"/>
  <c r="J42" i="9"/>
  <c r="J41" i="9"/>
  <c r="J40" i="9"/>
  <c r="J39" i="9"/>
  <c r="J38" i="9"/>
  <c r="J37" i="9"/>
  <c r="J36" i="9"/>
  <c r="J32" i="9"/>
  <c r="F52" i="9"/>
  <c r="F42" i="9"/>
  <c r="F32" i="9"/>
  <c r="J31" i="9"/>
  <c r="J30" i="9"/>
  <c r="J29" i="9"/>
  <c r="J28" i="9"/>
  <c r="J27" i="9"/>
  <c r="J26" i="9"/>
  <c r="J22" i="9"/>
  <c r="J21" i="9"/>
  <c r="J20" i="9"/>
  <c r="J19" i="9"/>
  <c r="J18" i="9"/>
  <c r="J17" i="9"/>
  <c r="J16" i="9"/>
  <c r="J11" i="9"/>
  <c r="J10" i="9"/>
  <c r="J9" i="9"/>
  <c r="J8" i="9"/>
  <c r="J7" i="9"/>
  <c r="J6" i="9"/>
  <c r="F22" i="9"/>
  <c r="K11" i="9" l="1"/>
  <c r="K10" i="9"/>
  <c r="K9" i="9"/>
  <c r="K8" i="9"/>
  <c r="K7" i="9"/>
  <c r="K6" i="9"/>
  <c r="A13" i="9"/>
  <c r="A11" i="9"/>
  <c r="A10" i="9"/>
  <c r="A9" i="9"/>
  <c r="A8" i="9"/>
  <c r="A7" i="9"/>
  <c r="A6" i="9"/>
  <c r="F60" i="9" s="1"/>
  <c r="D11" i="9"/>
  <c r="D10" i="9"/>
  <c r="D9" i="9"/>
  <c r="D8" i="9"/>
  <c r="D7" i="9"/>
  <c r="D6" i="9"/>
  <c r="B5" i="9"/>
  <c r="C5" i="9"/>
  <c r="G4" i="9" s="1"/>
  <c r="G15" i="9" s="1"/>
  <c r="G25" i="9" s="1"/>
  <c r="F47" i="9" l="1"/>
  <c r="F61" i="9"/>
  <c r="F39" i="9"/>
  <c r="F63" i="9"/>
  <c r="F51" i="9"/>
  <c r="F65" i="9"/>
  <c r="F38" i="9"/>
  <c r="F62" i="9"/>
  <c r="F50" i="9"/>
  <c r="F64" i="9"/>
  <c r="F49" i="9"/>
  <c r="F46" i="9"/>
  <c r="F6" i="9"/>
  <c r="F9" i="9"/>
  <c r="F29" i="9"/>
  <c r="F16" i="9"/>
  <c r="F36" i="9"/>
  <c r="F20" i="9"/>
  <c r="F40" i="9"/>
  <c r="F8" i="9"/>
  <c r="F28" i="9"/>
  <c r="F48" i="9"/>
  <c r="F17" i="9"/>
  <c r="F21" i="9"/>
  <c r="F10" i="9"/>
  <c r="F18" i="9"/>
  <c r="F26" i="9"/>
  <c r="F30" i="9"/>
  <c r="F37" i="9"/>
  <c r="F41" i="9"/>
  <c r="F7" i="9"/>
  <c r="F11" i="9"/>
  <c r="F19" i="9"/>
  <c r="F27" i="9"/>
  <c r="F31" i="9"/>
  <c r="K16" i="9"/>
  <c r="K20" i="9"/>
  <c r="K30" i="9" s="1"/>
  <c r="K40" i="9" s="1"/>
  <c r="K50" i="9" s="1"/>
  <c r="K18" i="9"/>
  <c r="K28" i="9" s="1"/>
  <c r="K19" i="9"/>
  <c r="K21" i="9"/>
  <c r="K31" i="9" s="1"/>
  <c r="K17" i="9"/>
  <c r="E17" i="7"/>
  <c r="E16" i="7"/>
  <c r="E15" i="7"/>
  <c r="E14" i="7"/>
  <c r="E13" i="7"/>
  <c r="E12" i="7"/>
  <c r="E11" i="7"/>
  <c r="E10" i="7"/>
  <c r="F10" i="7" s="1"/>
  <c r="E17" i="5"/>
  <c r="E16" i="5"/>
  <c r="E15" i="5"/>
  <c r="E14" i="5"/>
  <c r="E13" i="5"/>
  <c r="E12" i="5"/>
  <c r="E11" i="5"/>
  <c r="E10" i="5"/>
  <c r="F10" i="5" s="1"/>
  <c r="K22" i="9" l="1"/>
  <c r="K32" i="9" s="1"/>
  <c r="K42" i="9" s="1"/>
  <c r="E19" i="11"/>
  <c r="E19" i="3"/>
  <c r="L11" i="9"/>
  <c r="M11" i="9" s="1"/>
  <c r="L7" i="9"/>
  <c r="M7" i="9" s="1"/>
  <c r="L8" i="9"/>
  <c r="M8" i="9" s="1"/>
  <c r="L10" i="9"/>
  <c r="M10" i="9" s="1"/>
  <c r="K26" i="9"/>
  <c r="K36" i="9" s="1"/>
  <c r="E20" i="13"/>
  <c r="L9" i="9"/>
  <c r="M9" i="9" s="1"/>
  <c r="L6" i="9"/>
  <c r="M6" i="9" s="1"/>
  <c r="K29" i="9"/>
  <c r="K39" i="9" s="1"/>
  <c r="K49" i="9" s="1"/>
  <c r="K27" i="9"/>
  <c r="K41" i="9"/>
  <c r="K51" i="9" s="1"/>
  <c r="K38" i="9"/>
  <c r="K48" i="9" s="1"/>
  <c r="F11" i="7"/>
  <c r="F12" i="7" s="1"/>
  <c r="F13" i="7" s="1"/>
  <c r="F14" i="7" s="1"/>
  <c r="F15" i="7" s="1"/>
  <c r="F16" i="7" s="1"/>
  <c r="F17" i="7" s="1"/>
  <c r="F11" i="5"/>
  <c r="F12" i="5" s="1"/>
  <c r="F13" i="5" s="1"/>
  <c r="F14" i="5" s="1"/>
  <c r="F15" i="5" s="1"/>
  <c r="F16" i="5" s="1"/>
  <c r="F17" i="5" s="1"/>
  <c r="W21" i="13" l="1"/>
  <c r="H20" i="13"/>
  <c r="W20" i="13"/>
  <c r="R20" i="13"/>
  <c r="R21" i="13" s="1"/>
  <c r="R22" i="13" s="1"/>
  <c r="R23" i="13" s="1"/>
  <c r="F20" i="13"/>
  <c r="I20" i="13"/>
  <c r="L20" i="13"/>
  <c r="J20" i="13"/>
  <c r="K20" i="13"/>
  <c r="G20" i="13"/>
  <c r="Q20" i="13"/>
  <c r="M20" i="13"/>
  <c r="P20" i="13" s="1"/>
  <c r="L20" i="9"/>
  <c r="M20" i="9" s="1"/>
  <c r="E20" i="11"/>
  <c r="E20" i="3"/>
  <c r="W19" i="11"/>
  <c r="I19" i="11"/>
  <c r="Q19" i="11"/>
  <c r="R19" i="11"/>
  <c r="H19" i="11"/>
  <c r="J19" i="11"/>
  <c r="K19" i="11"/>
  <c r="F19" i="11"/>
  <c r="L19" i="11"/>
  <c r="G19" i="11"/>
  <c r="K46" i="9"/>
  <c r="K52" i="9"/>
  <c r="L22" i="9"/>
  <c r="M22" i="9" s="1"/>
  <c r="L19" i="9"/>
  <c r="M19" i="9" s="1"/>
  <c r="L17" i="9"/>
  <c r="M17" i="9" s="1"/>
  <c r="L16" i="9"/>
  <c r="M16" i="9" s="1"/>
  <c r="L18" i="9"/>
  <c r="M18" i="9" s="1"/>
  <c r="L21" i="9"/>
  <c r="M21" i="9" s="1"/>
  <c r="K37" i="9"/>
  <c r="C4" i="7"/>
  <c r="D4" i="7" s="1"/>
  <c r="C4" i="5"/>
  <c r="D4" i="5" s="1"/>
  <c r="M23" i="9" l="1"/>
  <c r="S20" i="13"/>
  <c r="Q21" i="13"/>
  <c r="O20" i="13"/>
  <c r="M19" i="11"/>
  <c r="P19" i="11" s="1"/>
  <c r="S19" i="11" s="1"/>
  <c r="R20" i="11"/>
  <c r="L32" i="9"/>
  <c r="M32" i="9" s="1"/>
  <c r="E21" i="11"/>
  <c r="E21" i="3"/>
  <c r="O19" i="11"/>
  <c r="Q20" i="11"/>
  <c r="W20" i="11"/>
  <c r="I20" i="11"/>
  <c r="G20" i="11"/>
  <c r="L20" i="11"/>
  <c r="H20" i="11"/>
  <c r="J20" i="11"/>
  <c r="F20" i="11"/>
  <c r="K20" i="11"/>
  <c r="K47" i="9"/>
  <c r="L27" i="9"/>
  <c r="M27" i="9" s="1"/>
  <c r="L30" i="9"/>
  <c r="M30" i="9" s="1"/>
  <c r="L26" i="9"/>
  <c r="M26" i="9" s="1"/>
  <c r="L29" i="9"/>
  <c r="M29" i="9" s="1"/>
  <c r="L28" i="9"/>
  <c r="M28" i="9" s="1"/>
  <c r="L31" i="9"/>
  <c r="M31" i="9" s="1"/>
  <c r="K14" i="3"/>
  <c r="J14" i="3"/>
  <c r="I14" i="3"/>
  <c r="H14" i="3"/>
  <c r="G14" i="3"/>
  <c r="F14" i="3"/>
  <c r="K13" i="3"/>
  <c r="J13" i="3"/>
  <c r="I13" i="3"/>
  <c r="H13" i="3"/>
  <c r="G13" i="3"/>
  <c r="F13" i="3"/>
  <c r="AA37" i="1"/>
  <c r="Z37" i="1" s="1"/>
  <c r="Y37" i="1" s="1"/>
  <c r="X37" i="1" s="1"/>
  <c r="W37" i="1" s="1"/>
  <c r="AB37" i="1"/>
  <c r="Q14" i="1"/>
  <c r="P14" i="1"/>
  <c r="B13" i="9" s="1"/>
  <c r="K3" i="3"/>
  <c r="C14" i="3" s="1"/>
  <c r="J3" i="3"/>
  <c r="K33" i="1"/>
  <c r="L33" i="1"/>
  <c r="P6" i="1"/>
  <c r="M33" i="9" l="1"/>
  <c r="X20" i="13"/>
  <c r="D20" i="13"/>
  <c r="O21" i="13"/>
  <c r="Q22" i="13"/>
  <c r="S21" i="13"/>
  <c r="T20" i="13"/>
  <c r="U20" i="13" s="1"/>
  <c r="D42" i="13" s="1"/>
  <c r="S42" i="13"/>
  <c r="Y42" i="13"/>
  <c r="J42" i="13"/>
  <c r="N42" i="13"/>
  <c r="O42" i="13" s="1"/>
  <c r="G42" i="13"/>
  <c r="V42" i="13"/>
  <c r="M42" i="13"/>
  <c r="O69" i="13" s="1"/>
  <c r="N69" i="13" s="1"/>
  <c r="M20" i="11"/>
  <c r="P20" i="11" s="1"/>
  <c r="S20" i="11" s="1"/>
  <c r="L39" i="9"/>
  <c r="M39" i="9" s="1"/>
  <c r="E22" i="11"/>
  <c r="E22" i="3"/>
  <c r="D19" i="11"/>
  <c r="X19" i="11"/>
  <c r="I21" i="11"/>
  <c r="W21" i="11"/>
  <c r="H21" i="11"/>
  <c r="G21" i="11"/>
  <c r="L21" i="11"/>
  <c r="J21" i="11"/>
  <c r="K21" i="11"/>
  <c r="F21" i="11"/>
  <c r="R21" i="11"/>
  <c r="Q21" i="11"/>
  <c r="O20" i="11"/>
  <c r="M41" i="11"/>
  <c r="V41" i="11"/>
  <c r="S41" i="11"/>
  <c r="T41" i="11" s="1"/>
  <c r="U41" i="11" s="1"/>
  <c r="N41" i="11"/>
  <c r="O41" i="11" s="1"/>
  <c r="G41" i="11"/>
  <c r="H41" i="11" s="1"/>
  <c r="I41" i="11" s="1"/>
  <c r="Y41" i="11"/>
  <c r="J41" i="11"/>
  <c r="K41" i="11" s="1"/>
  <c r="L41" i="11" s="1"/>
  <c r="T19" i="11"/>
  <c r="U19" i="11" s="1"/>
  <c r="D41" i="11" s="1"/>
  <c r="E41" i="11" s="1"/>
  <c r="F41" i="11" s="1"/>
  <c r="C13" i="9"/>
  <c r="L38" i="9"/>
  <c r="M38" i="9" s="1"/>
  <c r="L40" i="9"/>
  <c r="M40" i="9" s="1"/>
  <c r="L37" i="9"/>
  <c r="M37" i="9" s="1"/>
  <c r="L42" i="9"/>
  <c r="M42" i="9" s="1"/>
  <c r="L41" i="9"/>
  <c r="M41" i="9" s="1"/>
  <c r="L36" i="9"/>
  <c r="M36" i="9" s="1"/>
  <c r="E21" i="1"/>
  <c r="D21" i="1"/>
  <c r="M43" i="9" l="1"/>
  <c r="E42" i="13"/>
  <c r="F42" i="13" s="1"/>
  <c r="E69" i="13"/>
  <c r="H42" i="13"/>
  <c r="I42" i="13" s="1"/>
  <c r="H69" i="13"/>
  <c r="T42" i="13"/>
  <c r="U42" i="13" s="1"/>
  <c r="T69" i="13"/>
  <c r="X21" i="13"/>
  <c r="T21" i="13"/>
  <c r="U21" i="13" s="1"/>
  <c r="D43" i="13" s="1"/>
  <c r="D21" i="13"/>
  <c r="Y20" i="13"/>
  <c r="N21" i="13"/>
  <c r="P43" i="13" s="1"/>
  <c r="K42" i="13"/>
  <c r="L42" i="13" s="1"/>
  <c r="K69" i="13"/>
  <c r="G43" i="13"/>
  <c r="N43" i="13"/>
  <c r="O43" i="13" s="1"/>
  <c r="Y43" i="13"/>
  <c r="J43" i="13"/>
  <c r="S43" i="13"/>
  <c r="M43" i="13"/>
  <c r="O70" i="13" s="1"/>
  <c r="V43" i="13"/>
  <c r="W42" i="13"/>
  <c r="X42" i="13" s="1"/>
  <c r="W69" i="13"/>
  <c r="Z42" i="13"/>
  <c r="AA42" i="13" s="1"/>
  <c r="Z69" i="13"/>
  <c r="S22" i="13"/>
  <c r="Q23" i="13"/>
  <c r="O22" i="13"/>
  <c r="Y42" i="11"/>
  <c r="Z42" i="11" s="1"/>
  <c r="V42" i="11"/>
  <c r="W42" i="11" s="1"/>
  <c r="Z41" i="11"/>
  <c r="AA41" i="11" s="1"/>
  <c r="W41" i="11"/>
  <c r="X41" i="11" s="1"/>
  <c r="M21" i="11"/>
  <c r="P21" i="11" s="1"/>
  <c r="S21" i="11" s="1"/>
  <c r="O21" i="11"/>
  <c r="Q22" i="11"/>
  <c r="W22" i="11"/>
  <c r="I22" i="11"/>
  <c r="J22" i="11"/>
  <c r="K22" i="11"/>
  <c r="F22" i="11"/>
  <c r="G22" i="11"/>
  <c r="L22" i="11"/>
  <c r="H22" i="11"/>
  <c r="R22" i="11"/>
  <c r="Y19" i="11"/>
  <c r="N20" i="11"/>
  <c r="P42" i="11" s="1"/>
  <c r="Q42" i="11" s="1"/>
  <c r="R42" i="11" s="1"/>
  <c r="S42" i="11"/>
  <c r="T42" i="11" s="1"/>
  <c r="U42" i="11" s="1"/>
  <c r="J42" i="11"/>
  <c r="K42" i="11" s="1"/>
  <c r="L42" i="11" s="1"/>
  <c r="G42" i="11"/>
  <c r="H42" i="11" s="1"/>
  <c r="I42" i="11" s="1"/>
  <c r="N42" i="11"/>
  <c r="O42" i="11" s="1"/>
  <c r="M42" i="11"/>
  <c r="D20" i="11"/>
  <c r="X20" i="11"/>
  <c r="E23" i="11"/>
  <c r="E23" i="3"/>
  <c r="T20" i="11"/>
  <c r="U20" i="11" s="1"/>
  <c r="D42" i="11" s="1"/>
  <c r="E42" i="11" s="1"/>
  <c r="F42" i="11" s="1"/>
  <c r="L50" i="9"/>
  <c r="M50" i="9" s="1"/>
  <c r="G64" i="9" s="1"/>
  <c r="L49" i="9"/>
  <c r="M49" i="9" s="1"/>
  <c r="G63" i="9" s="1"/>
  <c r="L48" i="9"/>
  <c r="M48" i="9" s="1"/>
  <c r="G62" i="9" s="1"/>
  <c r="L51" i="9"/>
  <c r="M51" i="9" s="1"/>
  <c r="G65" i="9" s="1"/>
  <c r="L47" i="9"/>
  <c r="M47" i="9" s="1"/>
  <c r="G61" i="9" s="1"/>
  <c r="L52" i="9"/>
  <c r="M52" i="9" s="1"/>
  <c r="G66" i="9" s="1"/>
  <c r="L46" i="9"/>
  <c r="M46" i="9" s="1"/>
  <c r="B20" i="3"/>
  <c r="B21" i="3" s="1"/>
  <c r="B22" i="3" s="1"/>
  <c r="B23" i="3" s="1"/>
  <c r="B24" i="3" s="1"/>
  <c r="N14" i="3"/>
  <c r="L14" i="3"/>
  <c r="C19" i="3"/>
  <c r="E7" i="3"/>
  <c r="E6" i="3"/>
  <c r="B5" i="3"/>
  <c r="E4" i="3"/>
  <c r="B1" i="3"/>
  <c r="G60" i="9" l="1"/>
  <c r="M53" i="9"/>
  <c r="X42" i="11"/>
  <c r="AA42" i="11"/>
  <c r="T22" i="13"/>
  <c r="U22" i="13" s="1"/>
  <c r="D44" i="13" s="1"/>
  <c r="D22" i="13"/>
  <c r="X22" i="13"/>
  <c r="W43" i="13"/>
  <c r="W70" i="13"/>
  <c r="Z70" i="13"/>
  <c r="Z43" i="13"/>
  <c r="AA43" i="13"/>
  <c r="O23" i="13"/>
  <c r="S23" i="13"/>
  <c r="T43" i="13"/>
  <c r="U43" i="13" s="1"/>
  <c r="T70" i="13"/>
  <c r="H70" i="13"/>
  <c r="H43" i="13"/>
  <c r="I43" i="13" s="1"/>
  <c r="Y21" i="13"/>
  <c r="N22" i="13"/>
  <c r="P44" i="13" s="1"/>
  <c r="G44" i="13"/>
  <c r="J44" i="13"/>
  <c r="V44" i="13"/>
  <c r="M44" i="13"/>
  <c r="O71" i="13" s="1"/>
  <c r="S44" i="13"/>
  <c r="N44" i="13"/>
  <c r="O44" i="13" s="1"/>
  <c r="Y44" i="13"/>
  <c r="X43" i="13"/>
  <c r="K70" i="13"/>
  <c r="K43" i="13"/>
  <c r="L43" i="13" s="1"/>
  <c r="P70" i="13"/>
  <c r="N70" i="13" s="1"/>
  <c r="Q43" i="13"/>
  <c r="R43" i="13" s="1"/>
  <c r="E70" i="13"/>
  <c r="E43" i="13"/>
  <c r="F43" i="13" s="1"/>
  <c r="S43" i="11"/>
  <c r="T43" i="11" s="1"/>
  <c r="U43" i="11" s="1"/>
  <c r="Y43" i="11"/>
  <c r="Z43" i="11" s="1"/>
  <c r="AA43" i="11" s="1"/>
  <c r="V43" i="11"/>
  <c r="W43" i="11" s="1"/>
  <c r="X43" i="11" s="1"/>
  <c r="M22" i="11"/>
  <c r="P22" i="11" s="1"/>
  <c r="S22" i="11" s="1"/>
  <c r="G43" i="11"/>
  <c r="H43" i="11" s="1"/>
  <c r="I43" i="11" s="1"/>
  <c r="M43" i="11"/>
  <c r="J43" i="11"/>
  <c r="K43" i="11" s="1"/>
  <c r="L43" i="11" s="1"/>
  <c r="N43" i="11"/>
  <c r="O43" i="11" s="1"/>
  <c r="Q23" i="11"/>
  <c r="O22" i="11"/>
  <c r="G67" i="9"/>
  <c r="G69" i="9" s="1"/>
  <c r="G71" i="9" s="1"/>
  <c r="I23" i="11"/>
  <c r="H23" i="11"/>
  <c r="F23" i="11"/>
  <c r="G23" i="11"/>
  <c r="J23" i="11"/>
  <c r="K23" i="11"/>
  <c r="L23" i="11"/>
  <c r="R23" i="11"/>
  <c r="W23" i="11"/>
  <c r="T21" i="11"/>
  <c r="U21" i="11" s="1"/>
  <c r="D43" i="11" s="1"/>
  <c r="E43" i="11" s="1"/>
  <c r="F43" i="11" s="1"/>
  <c r="D21" i="11"/>
  <c r="X21" i="11"/>
  <c r="Y20" i="11"/>
  <c r="N21" i="11"/>
  <c r="P43" i="11" s="1"/>
  <c r="Q43" i="11" s="1"/>
  <c r="R43" i="11" s="1"/>
  <c r="B25" i="3"/>
  <c r="B26" i="3" s="1"/>
  <c r="B27" i="3" s="1"/>
  <c r="B28" i="3" s="1"/>
  <c r="P40" i="3"/>
  <c r="C20" i="3"/>
  <c r="C41" i="3"/>
  <c r="C40" i="3"/>
  <c r="Q44" i="13" l="1"/>
  <c r="P71" i="13"/>
  <c r="N71" i="13" s="1"/>
  <c r="S45" i="13"/>
  <c r="J45" i="13"/>
  <c r="G45" i="13"/>
  <c r="Y45" i="13"/>
  <c r="V45" i="13"/>
  <c r="M45" i="13"/>
  <c r="O72" i="13" s="1"/>
  <c r="N45" i="13"/>
  <c r="O45" i="13" s="1"/>
  <c r="E71" i="13"/>
  <c r="E44" i="13"/>
  <c r="F44" i="13" s="1"/>
  <c r="W44" i="13"/>
  <c r="X44" i="13" s="1"/>
  <c r="W71" i="13"/>
  <c r="R44" i="13"/>
  <c r="K44" i="13"/>
  <c r="L44" i="13" s="1"/>
  <c r="K71" i="13"/>
  <c r="Y22" i="13"/>
  <c r="N23" i="13"/>
  <c r="P45" i="13" s="1"/>
  <c r="Z44" i="13"/>
  <c r="AA44" i="13" s="1"/>
  <c r="Z71" i="13"/>
  <c r="E24" i="11"/>
  <c r="E25" i="11" s="1"/>
  <c r="E24" i="13"/>
  <c r="T44" i="13"/>
  <c r="U44" i="13" s="1"/>
  <c r="T71" i="13"/>
  <c r="H44" i="13"/>
  <c r="I44" i="13" s="1"/>
  <c r="H71" i="13"/>
  <c r="D23" i="13"/>
  <c r="X23" i="13"/>
  <c r="T23" i="13"/>
  <c r="U23" i="13" s="1"/>
  <c r="D45" i="13" s="1"/>
  <c r="E16" i="13"/>
  <c r="Y44" i="11"/>
  <c r="Z44" i="11" s="1"/>
  <c r="AA44" i="11" s="1"/>
  <c r="V44" i="11"/>
  <c r="W44" i="11" s="1"/>
  <c r="X44" i="11" s="1"/>
  <c r="H65" i="9"/>
  <c r="H60" i="9"/>
  <c r="H64" i="9"/>
  <c r="H61" i="9"/>
  <c r="H66" i="9"/>
  <c r="H62" i="9"/>
  <c r="M23" i="11"/>
  <c r="P23" i="11" s="1"/>
  <c r="S23" i="11" s="1"/>
  <c r="H63" i="9"/>
  <c r="N22" i="11"/>
  <c r="P44" i="11" s="1"/>
  <c r="Q44" i="11" s="1"/>
  <c r="R44" i="11" s="1"/>
  <c r="Y21" i="11"/>
  <c r="E16" i="11"/>
  <c r="E16" i="3"/>
  <c r="D22" i="11"/>
  <c r="X22" i="11"/>
  <c r="O23" i="11"/>
  <c r="T23" i="11" s="1"/>
  <c r="U23" i="11" s="1"/>
  <c r="D45" i="11" s="1"/>
  <c r="E45" i="11" s="1"/>
  <c r="T22" i="11"/>
  <c r="U22" i="11" s="1"/>
  <c r="D44" i="11" s="1"/>
  <c r="E44" i="11" s="1"/>
  <c r="F44" i="11" s="1"/>
  <c r="J24" i="11"/>
  <c r="E24" i="3"/>
  <c r="E25" i="3" s="1"/>
  <c r="E26" i="3" s="1"/>
  <c r="E27" i="3" s="1"/>
  <c r="E28" i="3" s="1"/>
  <c r="E29" i="3" s="1"/>
  <c r="N44" i="11"/>
  <c r="O44" i="11" s="1"/>
  <c r="S44" i="11"/>
  <c r="T44" i="11" s="1"/>
  <c r="U44" i="11" s="1"/>
  <c r="J44" i="11"/>
  <c r="K44" i="11" s="1"/>
  <c r="L44" i="11" s="1"/>
  <c r="G44" i="11"/>
  <c r="H44" i="11" s="1"/>
  <c r="I44" i="11" s="1"/>
  <c r="M44" i="11"/>
  <c r="C42" i="3"/>
  <c r="C21" i="3"/>
  <c r="L24" i="11" l="1"/>
  <c r="Q24" i="11"/>
  <c r="G24" i="11"/>
  <c r="R24" i="11"/>
  <c r="K24" i="11"/>
  <c r="Q45" i="13"/>
  <c r="R45" i="13" s="1"/>
  <c r="P72" i="13"/>
  <c r="N72" i="13" s="1"/>
  <c r="W45" i="13"/>
  <c r="X45" i="13" s="1"/>
  <c r="W72" i="13"/>
  <c r="T45" i="13"/>
  <c r="U45" i="13" s="1"/>
  <c r="T72" i="13"/>
  <c r="Y23" i="13"/>
  <c r="N24" i="13"/>
  <c r="P46" i="13" s="1"/>
  <c r="W24" i="11"/>
  <c r="F24" i="11"/>
  <c r="I24" i="11"/>
  <c r="Z72" i="13"/>
  <c r="Z45" i="13"/>
  <c r="AA45" i="13" s="1"/>
  <c r="J24" i="13"/>
  <c r="W24" i="13"/>
  <c r="F24" i="13"/>
  <c r="L24" i="13"/>
  <c r="I24" i="13"/>
  <c r="E25" i="13"/>
  <c r="H24" i="13"/>
  <c r="K24" i="13"/>
  <c r="G24" i="13"/>
  <c r="R24" i="13"/>
  <c r="R25" i="13" s="1"/>
  <c r="Q24" i="13"/>
  <c r="K72" i="13"/>
  <c r="K45" i="13"/>
  <c r="L45" i="13" s="1"/>
  <c r="H24" i="11"/>
  <c r="E45" i="13"/>
  <c r="F45" i="13" s="1"/>
  <c r="E72" i="13"/>
  <c r="H45" i="13"/>
  <c r="I45" i="13" s="1"/>
  <c r="H72" i="13"/>
  <c r="V45" i="11"/>
  <c r="W45" i="11" s="1"/>
  <c r="X45" i="11" s="1"/>
  <c r="Y45" i="11"/>
  <c r="Z45" i="11" s="1"/>
  <c r="AA45" i="11" s="1"/>
  <c r="H67" i="9"/>
  <c r="H69" i="9" s="1"/>
  <c r="H71" i="9" s="1"/>
  <c r="R25" i="11"/>
  <c r="F45" i="11"/>
  <c r="Y22" i="11"/>
  <c r="N23" i="11"/>
  <c r="P45" i="11" s="1"/>
  <c r="Q45" i="11" s="1"/>
  <c r="R45" i="11" s="1"/>
  <c r="Q25" i="11"/>
  <c r="O24" i="11"/>
  <c r="D23" i="11"/>
  <c r="X23" i="11"/>
  <c r="J25" i="11"/>
  <c r="F25" i="11"/>
  <c r="W25" i="11"/>
  <c r="K25" i="11"/>
  <c r="G25" i="11"/>
  <c r="E26" i="11"/>
  <c r="I25" i="11"/>
  <c r="L25" i="11"/>
  <c r="H25" i="11"/>
  <c r="M45" i="11"/>
  <c r="N45" i="11"/>
  <c r="O45" i="11" s="1"/>
  <c r="S45" i="11"/>
  <c r="T45" i="11" s="1"/>
  <c r="U45" i="11" s="1"/>
  <c r="G45" i="11"/>
  <c r="H45" i="11" s="1"/>
  <c r="I45" i="11" s="1"/>
  <c r="J45" i="11"/>
  <c r="K45" i="11" s="1"/>
  <c r="L45" i="11" s="1"/>
  <c r="C22" i="3"/>
  <c r="C43" i="3"/>
  <c r="M24" i="11" l="1"/>
  <c r="P24" i="11" s="1"/>
  <c r="S24" i="11" s="1"/>
  <c r="G46" i="11" s="1"/>
  <c r="H46" i="11" s="1"/>
  <c r="I46" i="11" s="1"/>
  <c r="M24" i="13"/>
  <c r="P24" i="13" s="1"/>
  <c r="S24" i="13" s="1"/>
  <c r="I64" i="9"/>
  <c r="I65" i="9"/>
  <c r="I61" i="9"/>
  <c r="Q46" i="13"/>
  <c r="R46" i="13" s="1"/>
  <c r="P73" i="13"/>
  <c r="O24" i="13"/>
  <c r="T24" i="13" s="1"/>
  <c r="U24" i="13" s="1"/>
  <c r="D46" i="13" s="1"/>
  <c r="Q25" i="13"/>
  <c r="I62" i="9"/>
  <c r="W25" i="13"/>
  <c r="I25" i="13"/>
  <c r="K25" i="13"/>
  <c r="E26" i="13"/>
  <c r="H25" i="13"/>
  <c r="F25" i="13"/>
  <c r="L25" i="13"/>
  <c r="J25" i="13"/>
  <c r="G25" i="13"/>
  <c r="Y46" i="11"/>
  <c r="Z46" i="11" s="1"/>
  <c r="AA46" i="11" s="1"/>
  <c r="V46" i="11"/>
  <c r="W46" i="11" s="1"/>
  <c r="X46" i="11" s="1"/>
  <c r="I60" i="9"/>
  <c r="I63" i="9"/>
  <c r="I66" i="9"/>
  <c r="M25" i="11"/>
  <c r="P25" i="11" s="1"/>
  <c r="S25" i="11" s="1"/>
  <c r="D24" i="11"/>
  <c r="X24" i="11"/>
  <c r="Y23" i="11"/>
  <c r="N24" i="11"/>
  <c r="P46" i="11" s="1"/>
  <c r="Q46" i="11" s="1"/>
  <c r="R46" i="11" s="1"/>
  <c r="O25" i="11"/>
  <c r="Q26" i="11"/>
  <c r="T24" i="11"/>
  <c r="U24" i="11" s="1"/>
  <c r="D46" i="11" s="1"/>
  <c r="E46" i="11" s="1"/>
  <c r="F46" i="11" s="1"/>
  <c r="W26" i="11"/>
  <c r="G26" i="11"/>
  <c r="I26" i="11"/>
  <c r="H26" i="11"/>
  <c r="J26" i="11"/>
  <c r="E27" i="11"/>
  <c r="K26" i="11"/>
  <c r="F26" i="11"/>
  <c r="L26" i="11"/>
  <c r="R26" i="11"/>
  <c r="J46" i="11"/>
  <c r="K46" i="11" s="1"/>
  <c r="L46" i="11" s="1"/>
  <c r="S46" i="11"/>
  <c r="T46" i="11" s="1"/>
  <c r="U46" i="11" s="1"/>
  <c r="C23" i="3"/>
  <c r="C44" i="3"/>
  <c r="N46" i="11" l="1"/>
  <c r="O46" i="11" s="1"/>
  <c r="M46" i="11"/>
  <c r="M25" i="13"/>
  <c r="P25" i="13" s="1"/>
  <c r="S25" i="13" s="1"/>
  <c r="I67" i="9"/>
  <c r="J64" i="9" s="1"/>
  <c r="E46" i="13"/>
  <c r="F46" i="13" s="1"/>
  <c r="E73" i="13"/>
  <c r="E27" i="13"/>
  <c r="G26" i="13"/>
  <c r="J26" i="13"/>
  <c r="W26" i="13"/>
  <c r="L26" i="13"/>
  <c r="K26" i="13"/>
  <c r="H26" i="13"/>
  <c r="I26" i="13"/>
  <c r="F26" i="13"/>
  <c r="D24" i="13"/>
  <c r="X24" i="13"/>
  <c r="R26" i="13"/>
  <c r="M46" i="13"/>
  <c r="O73" i="13" s="1"/>
  <c r="N73" i="13" s="1"/>
  <c r="S46" i="13"/>
  <c r="J46" i="13"/>
  <c r="G46" i="13"/>
  <c r="V46" i="13"/>
  <c r="Y46" i="13"/>
  <c r="N46" i="13"/>
  <c r="O46" i="13" s="1"/>
  <c r="Q26" i="13"/>
  <c r="O25" i="13"/>
  <c r="T25" i="13" s="1"/>
  <c r="U25" i="13" s="1"/>
  <c r="D47" i="13" s="1"/>
  <c r="V47" i="11"/>
  <c r="W47" i="11" s="1"/>
  <c r="X47" i="11" s="1"/>
  <c r="Y47" i="11"/>
  <c r="Z47" i="11" s="1"/>
  <c r="AA47" i="11" s="1"/>
  <c r="M26" i="11"/>
  <c r="P26" i="11" s="1"/>
  <c r="S26" i="11" s="1"/>
  <c r="O26" i="11"/>
  <c r="Q27" i="11"/>
  <c r="H27" i="11"/>
  <c r="G27" i="11"/>
  <c r="W27" i="11"/>
  <c r="K27" i="11"/>
  <c r="J27" i="11"/>
  <c r="E28" i="11"/>
  <c r="F27" i="11"/>
  <c r="I27" i="11"/>
  <c r="L27" i="11"/>
  <c r="D25" i="11"/>
  <c r="X25" i="11"/>
  <c r="G47" i="11"/>
  <c r="H47" i="11" s="1"/>
  <c r="I47" i="11" s="1"/>
  <c r="N47" i="11"/>
  <c r="O47" i="11" s="1"/>
  <c r="M47" i="11"/>
  <c r="J47" i="11"/>
  <c r="K47" i="11" s="1"/>
  <c r="L47" i="11" s="1"/>
  <c r="S47" i="11"/>
  <c r="T47" i="11" s="1"/>
  <c r="U47" i="11" s="1"/>
  <c r="R27" i="11"/>
  <c r="Y24" i="11"/>
  <c r="N25" i="11"/>
  <c r="P47" i="11" s="1"/>
  <c r="Q47" i="11" s="1"/>
  <c r="R47" i="11" s="1"/>
  <c r="T25" i="11"/>
  <c r="U25" i="11" s="1"/>
  <c r="D47" i="11" s="1"/>
  <c r="E47" i="11" s="1"/>
  <c r="F47" i="11" s="1"/>
  <c r="J65" i="9"/>
  <c r="J62" i="9"/>
  <c r="C24" i="3"/>
  <c r="C45" i="3"/>
  <c r="J66" i="9" l="1"/>
  <c r="J61" i="9"/>
  <c r="J60" i="9"/>
  <c r="J63" i="9"/>
  <c r="R27" i="13"/>
  <c r="M26" i="13"/>
  <c r="P26" i="13" s="1"/>
  <c r="I69" i="9"/>
  <c r="I71" i="9" s="1"/>
  <c r="E47" i="13"/>
  <c r="F47" i="13" s="1"/>
  <c r="E74" i="13"/>
  <c r="S26" i="13"/>
  <c r="D25" i="13"/>
  <c r="X25" i="13"/>
  <c r="H46" i="13"/>
  <c r="I46" i="13" s="1"/>
  <c r="H73" i="13"/>
  <c r="K73" i="13"/>
  <c r="K46" i="13"/>
  <c r="L46" i="13" s="1"/>
  <c r="L27" i="13"/>
  <c r="K27" i="13"/>
  <c r="E28" i="13"/>
  <c r="R28" i="13" s="1"/>
  <c r="R29" i="13" s="1"/>
  <c r="I27" i="13"/>
  <c r="W27" i="13"/>
  <c r="J27" i="13"/>
  <c r="F27" i="13"/>
  <c r="M27" i="13" s="1"/>
  <c r="P27" i="13" s="1"/>
  <c r="H27" i="13"/>
  <c r="G27" i="13"/>
  <c r="G47" i="13"/>
  <c r="J47" i="13"/>
  <c r="M47" i="13"/>
  <c r="O74" i="13" s="1"/>
  <c r="V47" i="13"/>
  <c r="S47" i="13"/>
  <c r="N47" i="13"/>
  <c r="O47" i="13" s="1"/>
  <c r="Y47" i="13"/>
  <c r="W46" i="13"/>
  <c r="X46" i="13" s="1"/>
  <c r="W73" i="13"/>
  <c r="O26" i="13"/>
  <c r="Q27" i="13"/>
  <c r="Z46" i="13"/>
  <c r="AA46" i="13" s="1"/>
  <c r="Z73" i="13"/>
  <c r="T73" i="13"/>
  <c r="T46" i="13"/>
  <c r="U46" i="13" s="1"/>
  <c r="N25" i="13"/>
  <c r="P47" i="13" s="1"/>
  <c r="Y24" i="13"/>
  <c r="V48" i="11"/>
  <c r="W48" i="11" s="1"/>
  <c r="X48" i="11" s="1"/>
  <c r="Y48" i="11"/>
  <c r="Z48" i="11" s="1"/>
  <c r="AA48" i="11" s="1"/>
  <c r="T26" i="11"/>
  <c r="U26" i="11" s="1"/>
  <c r="D48" i="11" s="1"/>
  <c r="E48" i="11" s="1"/>
  <c r="F48" i="11" s="1"/>
  <c r="M27" i="11"/>
  <c r="P27" i="11" s="1"/>
  <c r="S27" i="11" s="1"/>
  <c r="J67" i="9"/>
  <c r="K60" i="9" s="1"/>
  <c r="I28" i="11"/>
  <c r="G28" i="11"/>
  <c r="J28" i="11"/>
  <c r="H28" i="11"/>
  <c r="W28" i="11"/>
  <c r="K28" i="11"/>
  <c r="F28" i="11"/>
  <c r="E29" i="11"/>
  <c r="L28" i="11"/>
  <c r="D26" i="11"/>
  <c r="X26" i="11"/>
  <c r="R28" i="11"/>
  <c r="R29" i="11" s="1"/>
  <c r="Y25" i="11"/>
  <c r="N26" i="11"/>
  <c r="P48" i="11" s="1"/>
  <c r="Q48" i="11" s="1"/>
  <c r="R48" i="11" s="1"/>
  <c r="Q28" i="11"/>
  <c r="O27" i="11"/>
  <c r="N48" i="11"/>
  <c r="O48" i="11" s="1"/>
  <c r="M48" i="11"/>
  <c r="J48" i="11"/>
  <c r="K48" i="11" s="1"/>
  <c r="L48" i="11" s="1"/>
  <c r="S48" i="11"/>
  <c r="T48" i="11" s="1"/>
  <c r="U48" i="11" s="1"/>
  <c r="G48" i="11"/>
  <c r="H48" i="11" s="1"/>
  <c r="I48" i="11" s="1"/>
  <c r="C25" i="3"/>
  <c r="C46" i="3"/>
  <c r="L62" i="1"/>
  <c r="S27" i="13" l="1"/>
  <c r="D26" i="13"/>
  <c r="X26" i="13"/>
  <c r="K47" i="13"/>
  <c r="L47" i="13" s="1"/>
  <c r="K74" i="13"/>
  <c r="Y25" i="13"/>
  <c r="N26" i="13"/>
  <c r="P48" i="13" s="1"/>
  <c r="H47" i="13"/>
  <c r="I47" i="13" s="1"/>
  <c r="H74" i="13"/>
  <c r="P74" i="13"/>
  <c r="N74" i="13" s="1"/>
  <c r="Q47" i="13"/>
  <c r="R47" i="13" s="1"/>
  <c r="W47" i="13"/>
  <c r="X47" i="13" s="1"/>
  <c r="W74" i="13"/>
  <c r="L28" i="13"/>
  <c r="J28" i="13"/>
  <c r="G28" i="13"/>
  <c r="I28" i="13"/>
  <c r="W28" i="13"/>
  <c r="E29" i="13"/>
  <c r="K28" i="13"/>
  <c r="H28" i="13"/>
  <c r="F28" i="13"/>
  <c r="T26" i="13"/>
  <c r="U26" i="13" s="1"/>
  <c r="D48" i="13" s="1"/>
  <c r="T47" i="13"/>
  <c r="U47" i="13" s="1"/>
  <c r="T74" i="13"/>
  <c r="O27" i="13"/>
  <c r="T27" i="13" s="1"/>
  <c r="U27" i="13" s="1"/>
  <c r="D49" i="13" s="1"/>
  <c r="Q28" i="13"/>
  <c r="Z47" i="13"/>
  <c r="AA47" i="13" s="1"/>
  <c r="Z74" i="13"/>
  <c r="S48" i="13"/>
  <c r="J48" i="13"/>
  <c r="N48" i="13"/>
  <c r="O48" i="13" s="1"/>
  <c r="G48" i="13"/>
  <c r="Y48" i="13"/>
  <c r="V48" i="13"/>
  <c r="M48" i="13"/>
  <c r="O75" i="13" s="1"/>
  <c r="Y49" i="11"/>
  <c r="Z49" i="11" s="1"/>
  <c r="AA49" i="11" s="1"/>
  <c r="V49" i="11"/>
  <c r="W49" i="11" s="1"/>
  <c r="X49" i="11" s="1"/>
  <c r="T27" i="11"/>
  <c r="U27" i="11" s="1"/>
  <c r="D49" i="11" s="1"/>
  <c r="E49" i="11" s="1"/>
  <c r="F49" i="11" s="1"/>
  <c r="K65" i="9"/>
  <c r="K66" i="9"/>
  <c r="K61" i="9"/>
  <c r="K62" i="9"/>
  <c r="M28" i="11"/>
  <c r="P28" i="11" s="1"/>
  <c r="S28" i="11" s="1"/>
  <c r="I29" i="11"/>
  <c r="G29" i="11"/>
  <c r="K29" i="11"/>
  <c r="H29" i="11"/>
  <c r="F29" i="11"/>
  <c r="J29" i="11"/>
  <c r="W29" i="11"/>
  <c r="L29" i="11"/>
  <c r="N27" i="11"/>
  <c r="P49" i="11" s="1"/>
  <c r="Q49" i="11" s="1"/>
  <c r="R49" i="11" s="1"/>
  <c r="Y26" i="11"/>
  <c r="D27" i="11"/>
  <c r="X27" i="11"/>
  <c r="O28" i="11"/>
  <c r="Q29" i="11"/>
  <c r="O29" i="11" s="1"/>
  <c r="D29" i="11" s="1"/>
  <c r="Y29" i="11" s="1"/>
  <c r="J69" i="9"/>
  <c r="J71" i="9" s="1"/>
  <c r="K64" i="9"/>
  <c r="K63" i="9"/>
  <c r="J49" i="11"/>
  <c r="K49" i="11" s="1"/>
  <c r="L49" i="11" s="1"/>
  <c r="M49" i="11"/>
  <c r="N49" i="11"/>
  <c r="O49" i="11" s="1"/>
  <c r="S49" i="11"/>
  <c r="T49" i="11" s="1"/>
  <c r="U49" i="11" s="1"/>
  <c r="G49" i="11"/>
  <c r="H49" i="11" s="1"/>
  <c r="I49" i="11" s="1"/>
  <c r="C26" i="3"/>
  <c r="C47" i="3"/>
  <c r="L54" i="1"/>
  <c r="L55" i="1"/>
  <c r="Q33" i="1"/>
  <c r="P33" i="1"/>
  <c r="M28" i="13" l="1"/>
  <c r="P28" i="13" s="1"/>
  <c r="S28" i="13"/>
  <c r="E76" i="13"/>
  <c r="E49" i="13"/>
  <c r="H48" i="13"/>
  <c r="I48" i="13" s="1"/>
  <c r="H75" i="13"/>
  <c r="E48" i="13"/>
  <c r="F48" i="13" s="1"/>
  <c r="E75" i="13"/>
  <c r="Z48" i="13"/>
  <c r="AA48" i="13" s="1"/>
  <c r="Z75" i="13"/>
  <c r="T48" i="13"/>
  <c r="U48" i="13" s="1"/>
  <c r="T75" i="13"/>
  <c r="D27" i="13"/>
  <c r="X27" i="13"/>
  <c r="K29" i="13"/>
  <c r="L29" i="13"/>
  <c r="W29" i="13"/>
  <c r="F29" i="13"/>
  <c r="H29" i="13"/>
  <c r="I29" i="13"/>
  <c r="M29" i="13" s="1"/>
  <c r="J29" i="13"/>
  <c r="G29" i="13"/>
  <c r="S49" i="13"/>
  <c r="N49" i="13"/>
  <c r="O49" i="13" s="1"/>
  <c r="G49" i="13"/>
  <c r="Y49" i="13"/>
  <c r="J49" i="13"/>
  <c r="M49" i="13"/>
  <c r="O76" i="13" s="1"/>
  <c r="V49" i="13"/>
  <c r="Y26" i="13"/>
  <c r="N27" i="13"/>
  <c r="P49" i="13" s="1"/>
  <c r="W48" i="13"/>
  <c r="X48" i="13" s="1"/>
  <c r="W75" i="13"/>
  <c r="K48" i="13"/>
  <c r="L48" i="13" s="1"/>
  <c r="K75" i="13"/>
  <c r="Q29" i="13"/>
  <c r="O29" i="13" s="1"/>
  <c r="X29" i="13" s="1"/>
  <c r="O28" i="13"/>
  <c r="Q48" i="13"/>
  <c r="R48" i="13" s="1"/>
  <c r="P75" i="13"/>
  <c r="N75" i="13" s="1"/>
  <c r="V50" i="11"/>
  <c r="W50" i="11" s="1"/>
  <c r="X50" i="11" s="1"/>
  <c r="X53" i="11" s="1"/>
  <c r="Y50" i="11"/>
  <c r="Z50" i="11" s="1"/>
  <c r="AA50" i="11" s="1"/>
  <c r="AA53" i="11" s="1"/>
  <c r="T28" i="11"/>
  <c r="U28" i="11" s="1"/>
  <c r="D50" i="11" s="1"/>
  <c r="E50" i="11" s="1"/>
  <c r="F50" i="11" s="1"/>
  <c r="F53" i="11" s="1"/>
  <c r="M29" i="11"/>
  <c r="P29" i="11" s="1"/>
  <c r="K67" i="9"/>
  <c r="L60" i="9" s="1"/>
  <c r="D28" i="11"/>
  <c r="X28" i="11"/>
  <c r="N28" i="11"/>
  <c r="P50" i="11" s="1"/>
  <c r="Q50" i="11" s="1"/>
  <c r="R50" i="11" s="1"/>
  <c r="R53" i="11" s="1"/>
  <c r="Y27" i="11"/>
  <c r="X29" i="11"/>
  <c r="G50" i="11"/>
  <c r="H50" i="11" s="1"/>
  <c r="I50" i="11" s="1"/>
  <c r="I53" i="11" s="1"/>
  <c r="M50" i="11"/>
  <c r="N50" i="11"/>
  <c r="O50" i="11" s="1"/>
  <c r="O53" i="11" s="1"/>
  <c r="S50" i="11"/>
  <c r="T50" i="11" s="1"/>
  <c r="U50" i="11" s="1"/>
  <c r="U53" i="11" s="1"/>
  <c r="J50" i="11"/>
  <c r="K50" i="11" s="1"/>
  <c r="L50" i="11" s="1"/>
  <c r="L53" i="11" s="1"/>
  <c r="C27" i="3"/>
  <c r="C48" i="3"/>
  <c r="L53" i="1"/>
  <c r="L51" i="1" s="1"/>
  <c r="F49" i="13" l="1"/>
  <c r="P29" i="13"/>
  <c r="AA54" i="13"/>
  <c r="AA55" i="13" s="1"/>
  <c r="U54" i="13"/>
  <c r="U55" i="13" s="1"/>
  <c r="X54" i="13"/>
  <c r="X55" i="13" s="1"/>
  <c r="Z76" i="13"/>
  <c r="Z49" i="13"/>
  <c r="AA49" i="13" s="1"/>
  <c r="V50" i="13"/>
  <c r="M50" i="13"/>
  <c r="N50" i="13"/>
  <c r="O50" i="13" s="1"/>
  <c r="O53" i="13" s="1"/>
  <c r="S50" i="13"/>
  <c r="J50" i="13"/>
  <c r="G50" i="13"/>
  <c r="Y50" i="13"/>
  <c r="Y27" i="13"/>
  <c r="N28" i="13"/>
  <c r="P50" i="13" s="1"/>
  <c r="D29" i="13"/>
  <c r="Y29" i="13" s="1"/>
  <c r="W76" i="13"/>
  <c r="W49" i="13"/>
  <c r="X49" i="13" s="1"/>
  <c r="D28" i="13"/>
  <c r="X28" i="13"/>
  <c r="T28" i="13"/>
  <c r="U28" i="13" s="1"/>
  <c r="D50" i="13" s="1"/>
  <c r="E50" i="13" s="1"/>
  <c r="F50" i="13" s="1"/>
  <c r="F53" i="13" s="1"/>
  <c r="H49" i="13"/>
  <c r="I49" i="13" s="1"/>
  <c r="H76" i="13"/>
  <c r="Q49" i="13"/>
  <c r="R49" i="13" s="1"/>
  <c r="P76" i="13"/>
  <c r="N76" i="13" s="1"/>
  <c r="K49" i="13"/>
  <c r="L49" i="13" s="1"/>
  <c r="K76" i="13"/>
  <c r="T49" i="13"/>
  <c r="U49" i="13" s="1"/>
  <c r="T76" i="13"/>
  <c r="AA54" i="11"/>
  <c r="AA55" i="11" s="1"/>
  <c r="AA56" i="11" s="1"/>
  <c r="U54" i="11"/>
  <c r="U55" i="11" s="1"/>
  <c r="U56" i="11" s="1"/>
  <c r="X54" i="11"/>
  <c r="X55" i="11" s="1"/>
  <c r="X56" i="11" s="1"/>
  <c r="K69" i="9"/>
  <c r="K71" i="9" s="1"/>
  <c r="L62" i="9"/>
  <c r="L66" i="9"/>
  <c r="L61" i="9"/>
  <c r="L65" i="9"/>
  <c r="Y28" i="11"/>
  <c r="N29" i="11"/>
  <c r="P51" i="11" s="1"/>
  <c r="R54" i="11" s="1"/>
  <c r="R55" i="11" s="1"/>
  <c r="R56" i="11" s="1"/>
  <c r="L64" i="9"/>
  <c r="L63" i="9"/>
  <c r="S29" i="11"/>
  <c r="T29" i="11"/>
  <c r="F54" i="11" s="1"/>
  <c r="F55" i="11" s="1"/>
  <c r="C28" i="3"/>
  <c r="C49" i="3"/>
  <c r="P24" i="1"/>
  <c r="Q24" i="1"/>
  <c r="Y28" i="13" l="1"/>
  <c r="N29" i="13"/>
  <c r="P51" i="13" s="1"/>
  <c r="R54" i="13" s="1"/>
  <c r="R55" i="13" s="1"/>
  <c r="W77" i="13"/>
  <c r="W50" i="13"/>
  <c r="X50" i="13" s="1"/>
  <c r="X53" i="13" s="1"/>
  <c r="X56" i="13" s="1"/>
  <c r="T77" i="13"/>
  <c r="T50" i="13"/>
  <c r="U50" i="13" s="1"/>
  <c r="U53" i="13" s="1"/>
  <c r="U56" i="13" s="1"/>
  <c r="S29" i="13"/>
  <c r="T29" i="13"/>
  <c r="L54" i="13" s="1"/>
  <c r="L55" i="13" s="1"/>
  <c r="Q50" i="13"/>
  <c r="R50" i="13" s="1"/>
  <c r="R53" i="13" s="1"/>
  <c r="R56" i="13" s="1"/>
  <c r="K50" i="13"/>
  <c r="L50" i="13" s="1"/>
  <c r="L53" i="13" s="1"/>
  <c r="Z77" i="13"/>
  <c r="Z50" i="13"/>
  <c r="AA50" i="13" s="1"/>
  <c r="AA53" i="13" s="1"/>
  <c r="AA56" i="13" s="1"/>
  <c r="H50" i="13"/>
  <c r="I50" i="13" s="1"/>
  <c r="I53" i="13" s="1"/>
  <c r="L67" i="9"/>
  <c r="M60" i="9" s="1"/>
  <c r="U29" i="11"/>
  <c r="D51" i="11" s="1"/>
  <c r="F56" i="11"/>
  <c r="Y51" i="11"/>
  <c r="S51" i="11"/>
  <c r="M51" i="11"/>
  <c r="G51" i="11"/>
  <c r="I54" i="11" s="1"/>
  <c r="I55" i="11" s="1"/>
  <c r="I56" i="11" s="1"/>
  <c r="V51" i="11"/>
  <c r="J51" i="11"/>
  <c r="L54" i="11"/>
  <c r="L55" i="11" s="1"/>
  <c r="L56" i="11" s="1"/>
  <c r="C29" i="3"/>
  <c r="C51" i="3" s="1"/>
  <c r="C50" i="3"/>
  <c r="L21" i="1"/>
  <c r="K21" i="1"/>
  <c r="K77" i="13" l="1"/>
  <c r="W82" i="13"/>
  <c r="W81" i="13"/>
  <c r="W80" i="13"/>
  <c r="Z82" i="13"/>
  <c r="Z80" i="13"/>
  <c r="Z81" i="13"/>
  <c r="P77" i="13"/>
  <c r="S51" i="13"/>
  <c r="G51" i="13"/>
  <c r="I54" i="13" s="1"/>
  <c r="V51" i="13"/>
  <c r="M51" i="13"/>
  <c r="O54" i="13" s="1"/>
  <c r="J51" i="13"/>
  <c r="Y51" i="13"/>
  <c r="L56" i="13"/>
  <c r="F54" i="13"/>
  <c r="U29" i="13"/>
  <c r="D51" i="13" s="1"/>
  <c r="T82" i="13"/>
  <c r="T80" i="13"/>
  <c r="T81" i="13"/>
  <c r="O54" i="11"/>
  <c r="O55" i="11" s="1"/>
  <c r="O56" i="11" s="1"/>
  <c r="P58" i="11" s="1"/>
  <c r="M65" i="9"/>
  <c r="M63" i="9"/>
  <c r="M61" i="9"/>
  <c r="M62" i="9"/>
  <c r="M64" i="9"/>
  <c r="M66" i="9"/>
  <c r="K4" i="3"/>
  <c r="D14" i="3" s="1"/>
  <c r="J4" i="3"/>
  <c r="N16" i="3" s="1"/>
  <c r="Z53" i="1"/>
  <c r="Z54" i="1" s="1"/>
  <c r="AB66" i="1"/>
  <c r="V70" i="1" s="1"/>
  <c r="AA66" i="1"/>
  <c r="Z66" i="1"/>
  <c r="Y66" i="1"/>
  <c r="X66" i="1"/>
  <c r="X62" i="1"/>
  <c r="X63" i="1" s="1"/>
  <c r="AB62" i="1"/>
  <c r="AA62" i="1"/>
  <c r="AA63" i="1" s="1"/>
  <c r="Z62" i="1"/>
  <c r="Z63" i="1" s="1"/>
  <c r="Y62" i="1"/>
  <c r="Y63" i="1" s="1"/>
  <c r="Z48" i="1"/>
  <c r="Y48" i="1"/>
  <c r="X48" i="1"/>
  <c r="W48" i="1"/>
  <c r="AB50" i="1"/>
  <c r="I55" i="13" l="1"/>
  <c r="I56" i="13" s="1"/>
  <c r="H77" i="13"/>
  <c r="K82" i="13"/>
  <c r="K81" i="13"/>
  <c r="K80" i="13"/>
  <c r="M71" i="9"/>
  <c r="E77" i="13"/>
  <c r="F55" i="13"/>
  <c r="F56" i="13" s="1"/>
  <c r="O55" i="13"/>
  <c r="O56" i="13" s="1"/>
  <c r="O77" i="13"/>
  <c r="N77" i="13" s="1"/>
  <c r="N19" i="3"/>
  <c r="P41" i="3" s="1"/>
  <c r="W70" i="1"/>
  <c r="AB67" i="1"/>
  <c r="AA67" i="1"/>
  <c r="AB63" i="1"/>
  <c r="Y67" i="1"/>
  <c r="Z67" i="1"/>
  <c r="X67" i="1"/>
  <c r="V63" i="1"/>
  <c r="AA50" i="1"/>
  <c r="Z50" i="1"/>
  <c r="Z51" i="1" s="1"/>
  <c r="Y53" i="1"/>
  <c r="E80" i="13" l="1"/>
  <c r="E82" i="13"/>
  <c r="E81" i="13"/>
  <c r="H82" i="13"/>
  <c r="H81" i="13"/>
  <c r="H80" i="13"/>
  <c r="O82" i="13"/>
  <c r="O81" i="13"/>
  <c r="O80" i="13"/>
  <c r="P58" i="13"/>
  <c r="Q41" i="3"/>
  <c r="R41" i="3" s="1"/>
  <c r="V67" i="1"/>
  <c r="V60" i="1" s="1"/>
  <c r="E14" i="3"/>
  <c r="I16" i="3" l="1"/>
  <c r="J16" i="3"/>
  <c r="K16" i="3"/>
  <c r="H16" i="3"/>
  <c r="L16" i="3"/>
  <c r="F16" i="3"/>
  <c r="G16" i="3"/>
  <c r="P26" i="1"/>
  <c r="D44" i="1" s="1"/>
  <c r="W14" i="3"/>
  <c r="Q26" i="1"/>
  <c r="L65" i="1"/>
  <c r="E53" i="1"/>
  <c r="E44" i="1" l="1"/>
  <c r="L73" i="1" s="1"/>
  <c r="M14" i="3"/>
  <c r="L19" i="3"/>
  <c r="I19" i="3"/>
  <c r="H19" i="3"/>
  <c r="G19" i="3"/>
  <c r="K19" i="3"/>
  <c r="F19" i="3"/>
  <c r="J19" i="3"/>
  <c r="W19" i="3"/>
  <c r="M19" i="3" l="1"/>
  <c r="P19" i="3" s="1"/>
  <c r="J20" i="3"/>
  <c r="K20" i="3"/>
  <c r="L20" i="3"/>
  <c r="F20" i="3"/>
  <c r="H20" i="3"/>
  <c r="I20" i="3"/>
  <c r="W20" i="3"/>
  <c r="G20" i="3"/>
  <c r="Q35" i="1"/>
  <c r="Q52" i="1" s="1"/>
  <c r="P35" i="1"/>
  <c r="P37" i="1" s="1"/>
  <c r="AA41" i="1" s="1"/>
  <c r="K37" i="1" l="1"/>
  <c r="AA39" i="1"/>
  <c r="AA53" i="1"/>
  <c r="AA54" i="1" s="1"/>
  <c r="M20" i="3"/>
  <c r="P20" i="3" s="1"/>
  <c r="I21" i="3"/>
  <c r="F21" i="3"/>
  <c r="J21" i="3"/>
  <c r="H21" i="3"/>
  <c r="K21" i="3"/>
  <c r="L21" i="3"/>
  <c r="W21" i="3"/>
  <c r="G21" i="3"/>
  <c r="E5" i="3"/>
  <c r="D47" i="1"/>
  <c r="D63" i="1"/>
  <c r="D64" i="1"/>
  <c r="D58" i="1"/>
  <c r="K35" i="1" l="1"/>
  <c r="AA48" i="1"/>
  <c r="AA51" i="1"/>
  <c r="M21" i="3"/>
  <c r="P21" i="3" s="1"/>
  <c r="I22" i="3"/>
  <c r="K22" i="3"/>
  <c r="H22" i="3"/>
  <c r="L22" i="3"/>
  <c r="F22" i="3"/>
  <c r="J22" i="3"/>
  <c r="W22" i="3"/>
  <c r="G22" i="3"/>
  <c r="L6" i="1"/>
  <c r="Q6" i="1" s="1"/>
  <c r="K6" i="1"/>
  <c r="E43" i="1"/>
  <c r="L43" i="1" s="1"/>
  <c r="Q49" i="1" s="1"/>
  <c r="D43" i="1"/>
  <c r="K43" i="1" s="1"/>
  <c r="M22" i="3" l="1"/>
  <c r="P22" i="3" s="1"/>
  <c r="K23" i="3"/>
  <c r="L23" i="3"/>
  <c r="I23" i="3"/>
  <c r="F23" i="3"/>
  <c r="J23" i="3"/>
  <c r="H23" i="3"/>
  <c r="W23" i="3"/>
  <c r="G23" i="3"/>
  <c r="K27" i="1"/>
  <c r="E12" i="1"/>
  <c r="D12" i="1"/>
  <c r="M23" i="3" l="1"/>
  <c r="P23" i="3" s="1"/>
  <c r="L24" i="3"/>
  <c r="K24" i="3"/>
  <c r="J24" i="3"/>
  <c r="F24" i="3"/>
  <c r="I24" i="3"/>
  <c r="H24" i="3"/>
  <c r="W24" i="3"/>
  <c r="G24" i="3"/>
  <c r="O14" i="3"/>
  <c r="E10" i="3" s="1"/>
  <c r="R14" i="3"/>
  <c r="R19" i="3" s="1"/>
  <c r="R20" i="3" s="1"/>
  <c r="R21" i="3" s="1"/>
  <c r="R22" i="3" s="1"/>
  <c r="R23" i="3" s="1"/>
  <c r="R24" i="3" s="1"/>
  <c r="R25" i="3" s="1"/>
  <c r="R26" i="3" s="1"/>
  <c r="R27" i="3" s="1"/>
  <c r="R28" i="3" s="1"/>
  <c r="R29" i="3" s="1"/>
  <c r="L75" i="1"/>
  <c r="E48" i="1"/>
  <c r="L72" i="1"/>
  <c r="E29" i="1"/>
  <c r="D29" i="1"/>
  <c r="E52" i="1"/>
  <c r="E51" i="1" s="1"/>
  <c r="D57" i="1"/>
  <c r="D66" i="1" s="1"/>
  <c r="D62" i="1"/>
  <c r="M24" i="3" l="1"/>
  <c r="P24" i="3" s="1"/>
  <c r="H25" i="3"/>
  <c r="F25" i="3"/>
  <c r="L25" i="3"/>
  <c r="J25" i="3"/>
  <c r="I25" i="3"/>
  <c r="K25" i="3"/>
  <c r="X14" i="3"/>
  <c r="Y14" i="3"/>
  <c r="J10" i="3"/>
  <c r="P14" i="3"/>
  <c r="T14" i="3" s="1"/>
  <c r="W25" i="3"/>
  <c r="G25" i="3"/>
  <c r="L81" i="1"/>
  <c r="L82" i="1" s="1"/>
  <c r="L76" i="1"/>
  <c r="E59" i="1"/>
  <c r="E54" i="1"/>
  <c r="E47" i="1"/>
  <c r="D60" i="1"/>
  <c r="D59" i="1"/>
  <c r="D56" i="1"/>
  <c r="D65" i="1" s="1"/>
  <c r="Q37" i="1"/>
  <c r="AB41" i="1" s="1"/>
  <c r="L37" i="1" l="1"/>
  <c r="AB39" i="1"/>
  <c r="L35" i="1" s="1"/>
  <c r="AB82" i="1"/>
  <c r="X82" i="1"/>
  <c r="X83" i="1" s="1"/>
  <c r="AB78" i="1"/>
  <c r="AB79" i="1" s="1"/>
  <c r="AA82" i="1"/>
  <c r="AA83" i="1" s="1"/>
  <c r="AA78" i="1"/>
  <c r="AA79" i="1" s="1"/>
  <c r="Z82" i="1"/>
  <c r="Z83" i="1" s="1"/>
  <c r="Z78" i="1"/>
  <c r="Z79" i="1" s="1"/>
  <c r="X78" i="1"/>
  <c r="X79" i="1" s="1"/>
  <c r="Y82" i="1"/>
  <c r="Y83" i="1" s="1"/>
  <c r="Y78" i="1"/>
  <c r="Y79" i="1" s="1"/>
  <c r="AB53" i="1"/>
  <c r="AB54" i="1" s="1"/>
  <c r="M25" i="3"/>
  <c r="P25" i="3" s="1"/>
  <c r="H26" i="3"/>
  <c r="L26" i="3"/>
  <c r="F26" i="3"/>
  <c r="J26" i="3"/>
  <c r="I26" i="3"/>
  <c r="K26" i="3"/>
  <c r="W26" i="3"/>
  <c r="G26" i="3"/>
  <c r="E58" i="1"/>
  <c r="E56" i="1"/>
  <c r="D61" i="1"/>
  <c r="E63" i="1"/>
  <c r="Q41" i="1"/>
  <c r="L49" i="1"/>
  <c r="Q60" i="1" s="1"/>
  <c r="V83" i="1" l="1"/>
  <c r="AB83" i="1"/>
  <c r="V86" i="1"/>
  <c r="W86" i="1" s="1"/>
  <c r="V79" i="1"/>
  <c r="V76" i="1" s="1"/>
  <c r="S54" i="3"/>
  <c r="M26" i="3"/>
  <c r="P26" i="3" s="1"/>
  <c r="L27" i="3"/>
  <c r="I27" i="3"/>
  <c r="F27" i="3"/>
  <c r="J27" i="3"/>
  <c r="K27" i="3"/>
  <c r="H27" i="3"/>
  <c r="W27" i="3"/>
  <c r="G27" i="3"/>
  <c r="L44" i="1"/>
  <c r="L45" i="1" s="1"/>
  <c r="E64" i="1"/>
  <c r="E65" i="1" s="1"/>
  <c r="L26" i="1"/>
  <c r="L27" i="1" s="1"/>
  <c r="Q46" i="1"/>
  <c r="Q44" i="1"/>
  <c r="Q45" i="1"/>
  <c r="V54" i="3" l="1"/>
  <c r="Y54" i="3"/>
  <c r="M27" i="3"/>
  <c r="P27" i="3" s="1"/>
  <c r="J28" i="3"/>
  <c r="I28" i="3"/>
  <c r="H28" i="3"/>
  <c r="F28" i="3"/>
  <c r="L28" i="3"/>
  <c r="K28" i="3"/>
  <c r="W28" i="3"/>
  <c r="G28" i="3"/>
  <c r="L47" i="1"/>
  <c r="L46" i="1"/>
  <c r="L74" i="1"/>
  <c r="E60" i="1"/>
  <c r="E61" i="1" s="1"/>
  <c r="E57" i="1"/>
  <c r="E66" i="1" s="1"/>
  <c r="E62" i="1"/>
  <c r="AA42" i="1"/>
  <c r="K38" i="1" s="1"/>
  <c r="M28" i="3" l="1"/>
  <c r="P28" i="3" s="1"/>
  <c r="L29" i="3"/>
  <c r="F29" i="3"/>
  <c r="I29" i="3"/>
  <c r="K29" i="3"/>
  <c r="H29" i="3"/>
  <c r="J29" i="3"/>
  <c r="W29" i="3"/>
  <c r="G29" i="3"/>
  <c r="L66" i="1"/>
  <c r="D46" i="1"/>
  <c r="K29" i="1"/>
  <c r="M29" i="3" l="1"/>
  <c r="U54" i="3" s="1"/>
  <c r="E8" i="3"/>
  <c r="L29" i="1"/>
  <c r="E46" i="1"/>
  <c r="U55" i="3" l="1"/>
  <c r="P29" i="3"/>
  <c r="AA54" i="3"/>
  <c r="AA55" i="3" s="1"/>
  <c r="X54" i="3"/>
  <c r="X55" i="3" s="1"/>
  <c r="U14" i="3"/>
  <c r="D40" i="3" s="1"/>
  <c r="Q14" i="3"/>
  <c r="Q19" i="3" s="1"/>
  <c r="E49" i="1"/>
  <c r="E50" i="1" s="1"/>
  <c r="L77" i="1"/>
  <c r="Q20" i="3" l="1"/>
  <c r="O19" i="3"/>
  <c r="S14" i="3"/>
  <c r="D19" i="3" l="1"/>
  <c r="T19" i="3"/>
  <c r="U19" i="3" s="1"/>
  <c r="D41" i="3" s="1"/>
  <c r="X19" i="3"/>
  <c r="Q21" i="3"/>
  <c r="O20" i="3"/>
  <c r="M40" i="3"/>
  <c r="V40" i="3"/>
  <c r="Y40" i="3"/>
  <c r="J40" i="3"/>
  <c r="G40" i="3"/>
  <c r="S40" i="3"/>
  <c r="S19" i="3"/>
  <c r="N41" i="3" s="1"/>
  <c r="E41" i="3" l="1"/>
  <c r="F41" i="3" s="1"/>
  <c r="D20" i="3"/>
  <c r="X20" i="3"/>
  <c r="T20" i="3"/>
  <c r="U20" i="3" s="1"/>
  <c r="D42" i="3" s="1"/>
  <c r="Q22" i="3"/>
  <c r="O21" i="3"/>
  <c r="N20" i="3"/>
  <c r="P42" i="3" s="1"/>
  <c r="Y19" i="3"/>
  <c r="M41" i="3"/>
  <c r="Y41" i="3"/>
  <c r="Z41" i="3" s="1"/>
  <c r="AA41" i="3" s="1"/>
  <c r="O41" i="3"/>
  <c r="G41" i="3"/>
  <c r="S41" i="3"/>
  <c r="T41" i="3" s="1"/>
  <c r="V41" i="3"/>
  <c r="W41" i="3" s="1"/>
  <c r="X41" i="3" s="1"/>
  <c r="J41" i="3"/>
  <c r="S20" i="3"/>
  <c r="N42" i="3" l="1"/>
  <c r="V42" i="3"/>
  <c r="W42" i="3" s="1"/>
  <c r="Y42" i="3"/>
  <c r="Z42" i="3" s="1"/>
  <c r="AA42" i="3" s="1"/>
  <c r="X42" i="3"/>
  <c r="H41" i="3"/>
  <c r="I41" i="3" s="1"/>
  <c r="K41" i="3"/>
  <c r="L41" i="3" s="1"/>
  <c r="Q42" i="3"/>
  <c r="R42" i="3" s="1"/>
  <c r="E42" i="3"/>
  <c r="F42" i="3" s="1"/>
  <c r="U41" i="3"/>
  <c r="D21" i="3"/>
  <c r="T21" i="3"/>
  <c r="U21" i="3" s="1"/>
  <c r="D43" i="3" s="1"/>
  <c r="X21" i="3"/>
  <c r="Q23" i="3"/>
  <c r="O22" i="3"/>
  <c r="N21" i="3"/>
  <c r="P43" i="3" s="1"/>
  <c r="Y20" i="3"/>
  <c r="S21" i="3"/>
  <c r="J42" i="3"/>
  <c r="S42" i="3"/>
  <c r="T42" i="3" s="1"/>
  <c r="M42" i="3"/>
  <c r="G42" i="3"/>
  <c r="O42" i="3"/>
  <c r="N43" i="3" l="1"/>
  <c r="O43" i="3" s="1"/>
  <c r="Y43" i="3"/>
  <c r="Z43" i="3" s="1"/>
  <c r="AA43" i="3" s="1"/>
  <c r="V43" i="3"/>
  <c r="W43" i="3" s="1"/>
  <c r="X43" i="3" s="1"/>
  <c r="H42" i="3"/>
  <c r="I42" i="3" s="1"/>
  <c r="Q43" i="3"/>
  <c r="R43" i="3" s="1"/>
  <c r="K42" i="3"/>
  <c r="L42" i="3" s="1"/>
  <c r="E43" i="3"/>
  <c r="F43" i="3" s="1"/>
  <c r="U42" i="3"/>
  <c r="T22" i="3"/>
  <c r="U22" i="3" s="1"/>
  <c r="D44" i="3" s="1"/>
  <c r="X22" i="3"/>
  <c r="D22" i="3"/>
  <c r="Q24" i="3"/>
  <c r="O23" i="3"/>
  <c r="N22" i="3"/>
  <c r="P44" i="3" s="1"/>
  <c r="Y21" i="3"/>
  <c r="S43" i="3"/>
  <c r="T43" i="3" s="1"/>
  <c r="G43" i="3"/>
  <c r="M43" i="3"/>
  <c r="J43" i="3"/>
  <c r="S22" i="3"/>
  <c r="N44" i="3" l="1"/>
  <c r="Y44" i="3"/>
  <c r="Z44" i="3" s="1"/>
  <c r="AA44" i="3" s="1"/>
  <c r="V44" i="3"/>
  <c r="W44" i="3" s="1"/>
  <c r="X44" i="3" s="1"/>
  <c r="K43" i="3"/>
  <c r="L43" i="3" s="1"/>
  <c r="H43" i="3"/>
  <c r="I43" i="3" s="1"/>
  <c r="Q44" i="3"/>
  <c r="R44" i="3" s="1"/>
  <c r="E44" i="3"/>
  <c r="F44" i="3" s="1"/>
  <c r="U43" i="3"/>
  <c r="X23" i="3"/>
  <c r="D23" i="3"/>
  <c r="T23" i="3"/>
  <c r="U23" i="3" s="1"/>
  <c r="D45" i="3" s="1"/>
  <c r="E45" i="3" s="1"/>
  <c r="Q25" i="3"/>
  <c r="O24" i="3"/>
  <c r="Y22" i="3"/>
  <c r="N23" i="3"/>
  <c r="P45" i="3" s="1"/>
  <c r="Q45" i="3" s="1"/>
  <c r="S23" i="3"/>
  <c r="J44" i="3"/>
  <c r="M44" i="3"/>
  <c r="S44" i="3"/>
  <c r="T44" i="3" s="1"/>
  <c r="G44" i="3"/>
  <c r="O44" i="3"/>
  <c r="Y45" i="3" l="1"/>
  <c r="Z45" i="3" s="1"/>
  <c r="AA45" i="3" s="1"/>
  <c r="V45" i="3"/>
  <c r="W45" i="3" s="1"/>
  <c r="X45" i="3"/>
  <c r="K44" i="3"/>
  <c r="L44" i="3" s="1"/>
  <c r="H44" i="3"/>
  <c r="I44" i="3" s="1"/>
  <c r="J45" i="3"/>
  <c r="K45" i="3" s="1"/>
  <c r="G45" i="3"/>
  <c r="H45" i="3" s="1"/>
  <c r="M45" i="3"/>
  <c r="S45" i="3"/>
  <c r="T45" i="3" s="1"/>
  <c r="N45" i="3"/>
  <c r="O45" i="3" s="1"/>
  <c r="R45" i="3"/>
  <c r="F45" i="3"/>
  <c r="U44" i="3"/>
  <c r="N24" i="3"/>
  <c r="P46" i="3" s="1"/>
  <c r="Q46" i="3" s="1"/>
  <c r="Y23" i="3"/>
  <c r="D24" i="3"/>
  <c r="X24" i="3"/>
  <c r="T24" i="3"/>
  <c r="U24" i="3" s="1"/>
  <c r="D46" i="3" s="1"/>
  <c r="E46" i="3" s="1"/>
  <c r="Q26" i="3"/>
  <c r="O25" i="3"/>
  <c r="S24" i="3"/>
  <c r="Y46" i="3" l="1"/>
  <c r="Z46" i="3" s="1"/>
  <c r="AA46" i="3" s="1"/>
  <c r="V46" i="3"/>
  <c r="W46" i="3" s="1"/>
  <c r="X46" i="3"/>
  <c r="U45" i="3"/>
  <c r="I45" i="3"/>
  <c r="L45" i="3"/>
  <c r="R46" i="3"/>
  <c r="S46" i="3"/>
  <c r="T46" i="3" s="1"/>
  <c r="U46" i="3" s="1"/>
  <c r="N46" i="3"/>
  <c r="O46" i="3" s="1"/>
  <c r="G46" i="3"/>
  <c r="H46" i="3" s="1"/>
  <c r="M46" i="3"/>
  <c r="J46" i="3"/>
  <c r="K46" i="3" s="1"/>
  <c r="F46" i="3"/>
  <c r="X25" i="3"/>
  <c r="D25" i="3"/>
  <c r="T25" i="3"/>
  <c r="U25" i="3" s="1"/>
  <c r="D47" i="3" s="1"/>
  <c r="E47" i="3" s="1"/>
  <c r="Q27" i="3"/>
  <c r="O26" i="3"/>
  <c r="N25" i="3"/>
  <c r="P47" i="3" s="1"/>
  <c r="Q47" i="3" s="1"/>
  <c r="Y24" i="3"/>
  <c r="S25" i="3"/>
  <c r="Y47" i="3" l="1"/>
  <c r="Z47" i="3" s="1"/>
  <c r="AA47" i="3" s="1"/>
  <c r="V47" i="3"/>
  <c r="W47" i="3" s="1"/>
  <c r="X47" i="3" s="1"/>
  <c r="F47" i="3"/>
  <c r="I46" i="3"/>
  <c r="L46" i="3"/>
  <c r="R47" i="3"/>
  <c r="S47" i="3"/>
  <c r="T47" i="3" s="1"/>
  <c r="U47" i="3" s="1"/>
  <c r="N47" i="3"/>
  <c r="O47" i="3" s="1"/>
  <c r="G47" i="3"/>
  <c r="H47" i="3" s="1"/>
  <c r="J47" i="3"/>
  <c r="K47" i="3" s="1"/>
  <c r="M47" i="3"/>
  <c r="D26" i="3"/>
  <c r="X26" i="3"/>
  <c r="T26" i="3"/>
  <c r="U26" i="3" s="1"/>
  <c r="D48" i="3" s="1"/>
  <c r="E48" i="3" s="1"/>
  <c r="N26" i="3"/>
  <c r="P48" i="3" s="1"/>
  <c r="Q48" i="3" s="1"/>
  <c r="Y25" i="3"/>
  <c r="Q28" i="3"/>
  <c r="O27" i="3"/>
  <c r="S26" i="3"/>
  <c r="L47" i="3" l="1"/>
  <c r="V48" i="3"/>
  <c r="W48" i="3" s="1"/>
  <c r="X48" i="3" s="1"/>
  <c r="Y48" i="3"/>
  <c r="Z48" i="3" s="1"/>
  <c r="AA48" i="3" s="1"/>
  <c r="F48" i="3"/>
  <c r="R48" i="3"/>
  <c r="I47" i="3"/>
  <c r="N48" i="3"/>
  <c r="O48" i="3" s="1"/>
  <c r="G48" i="3"/>
  <c r="H48" i="3" s="1"/>
  <c r="M48" i="3"/>
  <c r="S48" i="3"/>
  <c r="T48" i="3" s="1"/>
  <c r="U48" i="3" s="1"/>
  <c r="J48" i="3"/>
  <c r="K48" i="3" s="1"/>
  <c r="D27" i="3"/>
  <c r="X27" i="3"/>
  <c r="T27" i="3"/>
  <c r="U27" i="3" s="1"/>
  <c r="D49" i="3" s="1"/>
  <c r="E49" i="3" s="1"/>
  <c r="Q29" i="3"/>
  <c r="O29" i="3" s="1"/>
  <c r="O28" i="3"/>
  <c r="N27" i="3"/>
  <c r="P49" i="3" s="1"/>
  <c r="Q49" i="3" s="1"/>
  <c r="R49" i="3" s="1"/>
  <c r="Y26" i="3"/>
  <c r="S27" i="3"/>
  <c r="L48" i="3" l="1"/>
  <c r="Y49" i="3"/>
  <c r="Z49" i="3" s="1"/>
  <c r="AA49" i="3" s="1"/>
  <c r="V49" i="3"/>
  <c r="W49" i="3" s="1"/>
  <c r="X49" i="3" s="1"/>
  <c r="F49" i="3"/>
  <c r="I48" i="3"/>
  <c r="J49" i="3"/>
  <c r="K49" i="3" s="1"/>
  <c r="L49" i="3" s="1"/>
  <c r="M49" i="3"/>
  <c r="S49" i="3"/>
  <c r="T49" i="3" s="1"/>
  <c r="U49" i="3" s="1"/>
  <c r="N49" i="3"/>
  <c r="O49" i="3" s="1"/>
  <c r="G49" i="3"/>
  <c r="H49" i="3" s="1"/>
  <c r="D28" i="3"/>
  <c r="X28" i="3"/>
  <c r="T28" i="3"/>
  <c r="U28" i="3" s="1"/>
  <c r="D50" i="3" s="1"/>
  <c r="E50" i="3" s="1"/>
  <c r="D29" i="3"/>
  <c r="Y29" i="3" s="1"/>
  <c r="X29" i="3"/>
  <c r="T29" i="3"/>
  <c r="F54" i="3" s="1"/>
  <c r="N28" i="3"/>
  <c r="Y27" i="3"/>
  <c r="S29" i="3"/>
  <c r="S28" i="3"/>
  <c r="Y50" i="3" l="1"/>
  <c r="Z50" i="3" s="1"/>
  <c r="AA50" i="3" s="1"/>
  <c r="AA53" i="3" s="1"/>
  <c r="AA56" i="3" s="1"/>
  <c r="V50" i="3"/>
  <c r="W50" i="3" s="1"/>
  <c r="X50" i="3" s="1"/>
  <c r="I49" i="3"/>
  <c r="P50" i="3"/>
  <c r="Q50" i="3" s="1"/>
  <c r="R50" i="3" s="1"/>
  <c r="R53" i="3" s="1"/>
  <c r="S50" i="3"/>
  <c r="T50" i="3" s="1"/>
  <c r="U50" i="3" s="1"/>
  <c r="N50" i="3"/>
  <c r="O50" i="3" s="1"/>
  <c r="O53" i="3" s="1"/>
  <c r="G50" i="3"/>
  <c r="H50" i="3" s="1"/>
  <c r="M50" i="3"/>
  <c r="F50" i="3"/>
  <c r="F53" i="3" s="1"/>
  <c r="U29" i="3"/>
  <c r="D51" i="3" s="1"/>
  <c r="L54" i="3"/>
  <c r="L55" i="3" s="1"/>
  <c r="F55" i="3"/>
  <c r="N29" i="3"/>
  <c r="P51" i="3" s="1"/>
  <c r="R54" i="3" s="1"/>
  <c r="Y28" i="3"/>
  <c r="J50" i="3"/>
  <c r="Y51" i="3"/>
  <c r="M51" i="3"/>
  <c r="J51" i="3"/>
  <c r="V51" i="3"/>
  <c r="G51" i="3"/>
  <c r="I54" i="3" s="1"/>
  <c r="I55" i="3" s="1"/>
  <c r="S51" i="3"/>
  <c r="O54" i="3" l="1"/>
  <c r="O55" i="3" s="1"/>
  <c r="O56" i="3" s="1"/>
  <c r="F56" i="3"/>
  <c r="K50" i="3"/>
  <c r="L50" i="3" s="1"/>
  <c r="L53" i="3" s="1"/>
  <c r="L56" i="3" s="1"/>
  <c r="R55" i="3"/>
  <c r="R56" i="3" s="1"/>
  <c r="I50" i="3"/>
  <c r="I53" i="3" s="1"/>
  <c r="I56" i="3" s="1"/>
  <c r="X53" i="3"/>
  <c r="X56" i="3" s="1"/>
  <c r="U53" i="3"/>
  <c r="U56" i="3" s="1"/>
  <c r="P58" i="3" l="1"/>
  <c r="AB48" i="1" l="1"/>
  <c r="AB42" i="1"/>
  <c r="L38" i="1" s="1"/>
  <c r="AB51" i="1"/>
</calcChain>
</file>

<file path=xl/sharedStrings.xml><?xml version="1.0" encoding="utf-8"?>
<sst xmlns="http://schemas.openxmlformats.org/spreadsheetml/2006/main" count="650" uniqueCount="311">
  <si>
    <t>Current Assets</t>
  </si>
  <si>
    <t>Accounts Receivable</t>
  </si>
  <si>
    <t>Inventory</t>
  </si>
  <si>
    <t xml:space="preserve">Total </t>
  </si>
  <si>
    <t>Total</t>
  </si>
  <si>
    <t>Total Assets</t>
  </si>
  <si>
    <t>Accounts Payable</t>
  </si>
  <si>
    <t>Long Term Debt</t>
  </si>
  <si>
    <t>Owner's Equity</t>
  </si>
  <si>
    <t>Accumulated Retained Earnings</t>
  </si>
  <si>
    <t>Total Liabilities and Owner's Equity</t>
  </si>
  <si>
    <t>Common Stock</t>
  </si>
  <si>
    <t>Preferred Stock</t>
  </si>
  <si>
    <t>Services</t>
  </si>
  <si>
    <t>Taxable Income</t>
  </si>
  <si>
    <t>Net Income</t>
  </si>
  <si>
    <t>Depreciation</t>
  </si>
  <si>
    <t>Equipment</t>
  </si>
  <si>
    <t>Technology</t>
  </si>
  <si>
    <t>Distribution of Earnings</t>
  </si>
  <si>
    <t>Dividends (Common)</t>
  </si>
  <si>
    <t>Addition to Retained Earnings</t>
  </si>
  <si>
    <t>OCF</t>
  </si>
  <si>
    <t>NWC</t>
  </si>
  <si>
    <t>NCS</t>
  </si>
  <si>
    <t>CFFA (1)</t>
  </si>
  <si>
    <t>CFFA (2)</t>
  </si>
  <si>
    <t>CF/CR</t>
  </si>
  <si>
    <t>CF/SH</t>
  </si>
  <si>
    <t>∆ NWC</t>
  </si>
  <si>
    <t>EBITDA</t>
  </si>
  <si>
    <t>ROA</t>
  </si>
  <si>
    <t>ROE</t>
  </si>
  <si>
    <t>ROE (Dupont)</t>
  </si>
  <si>
    <t>PM</t>
  </si>
  <si>
    <t>TAT</t>
  </si>
  <si>
    <t>EM</t>
  </si>
  <si>
    <t>Payout Ratio</t>
  </si>
  <si>
    <t>12/31 Price per Share</t>
  </si>
  <si>
    <t>Additional Financial Information</t>
  </si>
  <si>
    <t>Total Capital</t>
  </si>
  <si>
    <t>E/V (common stock)</t>
  </si>
  <si>
    <t>P/V (perferred stock)</t>
  </si>
  <si>
    <t>D/V (total long term debt)</t>
  </si>
  <si>
    <t>Cost of Debt</t>
  </si>
  <si>
    <t>Cost of Preferred</t>
  </si>
  <si>
    <t>Growth rate of dividend (g)</t>
  </si>
  <si>
    <t>Market Returns</t>
  </si>
  <si>
    <t>Risk Free Rate</t>
  </si>
  <si>
    <t>WACC</t>
  </si>
  <si>
    <t>TRS (traditional)</t>
  </si>
  <si>
    <t xml:space="preserve">           Dividend yield</t>
  </si>
  <si>
    <t xml:space="preserve">           % Change in share price</t>
  </si>
  <si>
    <t>EPS</t>
  </si>
  <si>
    <t>P/E Multiple</t>
  </si>
  <si>
    <t>January 1 - December 31</t>
  </si>
  <si>
    <t>Year Ending December 31</t>
  </si>
  <si>
    <t>Leshkal Industries, Inc.</t>
  </si>
  <si>
    <t>--</t>
  </si>
  <si>
    <t>Bond Interest</t>
  </si>
  <si>
    <t>General Interest</t>
  </si>
  <si>
    <t>Mortgages</t>
  </si>
  <si>
    <t>Total Interest Paid</t>
  </si>
  <si>
    <t>ROE = NI/TE</t>
  </si>
  <si>
    <t>Retention Ratio</t>
  </si>
  <si>
    <t>IGR</t>
  </si>
  <si>
    <t>SGR</t>
  </si>
  <si>
    <t>Beta (assumed)</t>
  </si>
  <si>
    <r>
      <t>Cost of Equity (R</t>
    </r>
    <r>
      <rPr>
        <vertAlign val="subscript"/>
        <sz val="11"/>
        <color theme="1"/>
        <rFont val="Calibri"/>
        <family val="2"/>
        <scheme val="minor"/>
      </rPr>
      <t>E</t>
    </r>
    <r>
      <rPr>
        <sz val="11"/>
        <color theme="1"/>
        <rFont val="Calibri"/>
        <family val="2"/>
        <scheme val="minor"/>
      </rPr>
      <t xml:space="preserve"> = R</t>
    </r>
    <r>
      <rPr>
        <vertAlign val="subscript"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+(R</t>
    </r>
    <r>
      <rPr>
        <vertAlign val="subscript"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-R</t>
    </r>
    <r>
      <rPr>
        <vertAlign val="subscript"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)</t>
    </r>
    <r>
      <rPr>
        <sz val="11"/>
        <color theme="1"/>
        <rFont val="Calibri"/>
        <family val="2"/>
      </rPr>
      <t>β</t>
    </r>
  </si>
  <si>
    <t>Patents Held</t>
  </si>
  <si>
    <t>Rental Property</t>
  </si>
  <si>
    <t>Expenses</t>
  </si>
  <si>
    <t>Income</t>
  </si>
  <si>
    <t>Total Income</t>
  </si>
  <si>
    <t>Total Expenses</t>
  </si>
  <si>
    <t>Rent (net)</t>
  </si>
  <si>
    <t>NA</t>
  </si>
  <si>
    <t>Balance Sheet ($ thousands)</t>
  </si>
  <si>
    <t>Income Statement ($ thousands)</t>
  </si>
  <si>
    <t>Shares Outstanding (thousands)</t>
  </si>
  <si>
    <t>Market Cap ($ thousands)</t>
  </si>
  <si>
    <r>
      <t>Stock Value</t>
    </r>
    <r>
      <rPr>
        <vertAlign val="superscript"/>
        <sz val="11"/>
        <color theme="1"/>
        <rFont val="Calibri"/>
        <family val="2"/>
        <scheme val="minor"/>
      </rPr>
      <t>1</t>
    </r>
  </si>
  <si>
    <t>Dividends Paid</t>
  </si>
  <si>
    <t>g = growth rate of EPS</t>
  </si>
  <si>
    <t>g = growth rate of dividends</t>
  </si>
  <si>
    <t>r (derived from DG equation)</t>
  </si>
  <si>
    <t>Dividend rate for subject year (%)</t>
  </si>
  <si>
    <t>r</t>
  </si>
  <si>
    <t>Dividend</t>
  </si>
  <si>
    <r>
      <t>g</t>
    </r>
    <r>
      <rPr>
        <b/>
        <vertAlign val="subscript"/>
        <sz val="11"/>
        <color theme="1"/>
        <rFont val="Calibri"/>
        <family val="2"/>
        <scheme val="minor"/>
      </rPr>
      <t>1-5</t>
    </r>
  </si>
  <si>
    <r>
      <t>g</t>
    </r>
    <r>
      <rPr>
        <b/>
        <vertAlign val="subscript"/>
        <sz val="11"/>
        <color theme="1"/>
        <rFont val="Calibri"/>
        <family val="2"/>
        <scheme val="minor"/>
      </rPr>
      <t>6-10</t>
    </r>
  </si>
  <si>
    <r>
      <t>g</t>
    </r>
    <r>
      <rPr>
        <b/>
        <vertAlign val="subscript"/>
        <sz val="11"/>
        <color theme="1"/>
        <rFont val="Calibri"/>
        <family val="2"/>
        <scheme val="minor"/>
      </rPr>
      <t>11+</t>
    </r>
  </si>
  <si>
    <t>Period</t>
  </si>
  <si>
    <r>
      <t>PV</t>
    </r>
    <r>
      <rPr>
        <b/>
        <vertAlign val="subscript"/>
        <sz val="11"/>
        <color theme="1"/>
        <rFont val="Calibri"/>
        <family val="2"/>
        <scheme val="minor"/>
      </rPr>
      <t>Di</t>
    </r>
  </si>
  <si>
    <r>
      <t>CV = D</t>
    </r>
    <r>
      <rPr>
        <b/>
        <vertAlign val="subscript"/>
        <sz val="11"/>
        <color theme="1"/>
        <rFont val="Calibri"/>
        <family val="2"/>
        <scheme val="minor"/>
      </rPr>
      <t>11</t>
    </r>
    <r>
      <rPr>
        <b/>
        <sz val="11"/>
        <color theme="1"/>
        <rFont val="Calibri"/>
        <family val="2"/>
        <scheme val="minor"/>
      </rPr>
      <t>/(r-g)</t>
    </r>
  </si>
  <si>
    <r>
      <t>P</t>
    </r>
    <r>
      <rPr>
        <b/>
        <vertAlign val="subscript"/>
        <sz val="11"/>
        <color theme="1"/>
        <rFont val="Calibri"/>
        <family val="2"/>
        <scheme val="minor"/>
      </rPr>
      <t>0</t>
    </r>
    <r>
      <rPr>
        <b/>
        <sz val="11"/>
        <color theme="1"/>
        <rFont val="Calibri"/>
        <family val="2"/>
        <scheme val="minor"/>
      </rPr>
      <t xml:space="preserve"> = </t>
    </r>
    <r>
      <rPr>
        <b/>
        <sz val="11"/>
        <color rgb="FF0070C0"/>
        <rFont val="Calibri"/>
        <family val="2"/>
        <scheme val="minor"/>
      </rPr>
      <t>DCF</t>
    </r>
    <r>
      <rPr>
        <b/>
        <vertAlign val="subscript"/>
        <sz val="11"/>
        <color rgb="FF0070C0"/>
        <rFont val="Calibri"/>
        <family val="2"/>
        <scheme val="minor"/>
      </rPr>
      <t>1-5</t>
    </r>
    <r>
      <rPr>
        <b/>
        <sz val="11"/>
        <color theme="1"/>
        <rFont val="Calibri"/>
        <family val="2"/>
        <scheme val="minor"/>
      </rPr>
      <t xml:space="preserve"> + </t>
    </r>
    <r>
      <rPr>
        <b/>
        <sz val="11"/>
        <color rgb="FF00B050"/>
        <rFont val="Calibri"/>
        <family val="2"/>
        <scheme val="minor"/>
      </rPr>
      <t>DCF</t>
    </r>
    <r>
      <rPr>
        <b/>
        <vertAlign val="subscript"/>
        <sz val="11"/>
        <color rgb="FF00B050"/>
        <rFont val="Calibri"/>
        <family val="2"/>
        <scheme val="minor"/>
      </rPr>
      <t>6-10</t>
    </r>
    <r>
      <rPr>
        <b/>
        <sz val="11"/>
        <color theme="1"/>
        <rFont val="Calibri"/>
        <family val="2"/>
        <scheme val="minor"/>
      </rPr>
      <t>+</t>
    </r>
    <r>
      <rPr>
        <b/>
        <sz val="11"/>
        <color rgb="FFC00000"/>
        <rFont val="Calibri"/>
        <family val="2"/>
        <scheme val="minor"/>
      </rPr>
      <t>PV</t>
    </r>
    <r>
      <rPr>
        <b/>
        <vertAlign val="subscript"/>
        <sz val="11"/>
        <color rgb="FFC00000"/>
        <rFont val="Calibri"/>
        <family val="2"/>
        <scheme val="minor"/>
      </rPr>
      <t>CV</t>
    </r>
  </si>
  <si>
    <r>
      <t>PV</t>
    </r>
    <r>
      <rPr>
        <b/>
        <vertAlign val="subscript"/>
        <sz val="11"/>
        <color rgb="FFC00000"/>
        <rFont val="Calibri"/>
        <family val="2"/>
        <scheme val="minor"/>
      </rPr>
      <t>CV</t>
    </r>
  </si>
  <si>
    <r>
      <t>DCF</t>
    </r>
    <r>
      <rPr>
        <b/>
        <vertAlign val="subscript"/>
        <sz val="11"/>
        <color rgb="FF00B050"/>
        <rFont val="Calibri"/>
        <family val="2"/>
        <scheme val="minor"/>
      </rPr>
      <t>6-10</t>
    </r>
  </si>
  <si>
    <r>
      <t>DCF</t>
    </r>
    <r>
      <rPr>
        <b/>
        <vertAlign val="subscript"/>
        <sz val="11"/>
        <color rgb="FF0070C0"/>
        <rFont val="Calibri"/>
        <family val="2"/>
        <scheme val="minor"/>
      </rPr>
      <t>1-5</t>
    </r>
  </si>
  <si>
    <r>
      <t>PV</t>
    </r>
    <r>
      <rPr>
        <b/>
        <vertAlign val="subscript"/>
        <sz val="11"/>
        <color theme="1"/>
        <rFont val="Calibri"/>
        <family val="2"/>
        <scheme val="minor"/>
      </rPr>
      <t>EPSi</t>
    </r>
  </si>
  <si>
    <r>
      <t>CV = EPS</t>
    </r>
    <r>
      <rPr>
        <b/>
        <vertAlign val="subscript"/>
        <sz val="11"/>
        <color theme="1"/>
        <rFont val="Calibri"/>
        <family val="2"/>
        <scheme val="minor"/>
      </rPr>
      <t>11</t>
    </r>
    <r>
      <rPr>
        <b/>
        <sz val="11"/>
        <color theme="1"/>
        <rFont val="Calibri"/>
        <family val="2"/>
        <scheme val="minor"/>
      </rPr>
      <t>/(r-g)</t>
    </r>
  </si>
  <si>
    <t>Dividend based valuation</t>
  </si>
  <si>
    <t>EPS based valuation</t>
  </si>
  <si>
    <t>Credit Line (long-term)</t>
  </si>
  <si>
    <t>FCF = NOPLAT + Non-Cash Expense - Net Investment</t>
  </si>
  <si>
    <r>
      <t>NOPLAT = EBIT x (1-T</t>
    </r>
    <r>
      <rPr>
        <vertAlign val="subscript"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)</t>
    </r>
  </si>
  <si>
    <t>Tax rate</t>
  </si>
  <si>
    <t>NOPAT = EBIT - taxes paid</t>
  </si>
  <si>
    <t>Current Liabilitites</t>
  </si>
  <si>
    <t>Invested Capital (LTD+OE) Non-op</t>
  </si>
  <si>
    <t>Invested Capital (FA+ NWC) Op</t>
  </si>
  <si>
    <t>ROIC = NOPLAT/Invested Capital (Op)</t>
  </si>
  <si>
    <t>ROIC = NI/Invested Capital (Non-Op)</t>
  </si>
  <si>
    <t>Net Investment (Op)</t>
  </si>
  <si>
    <t>Long term g</t>
  </si>
  <si>
    <t>Interest Bearing Debt</t>
  </si>
  <si>
    <t>Tax Rate on EBIT</t>
  </si>
  <si>
    <t>Tax Rate on Taxable Income</t>
  </si>
  <si>
    <r>
      <t>k</t>
    </r>
    <r>
      <rPr>
        <vertAlign val="subscript"/>
        <sz val="11"/>
        <color theme="1"/>
        <rFont val="Calibri"/>
        <family val="2"/>
        <scheme val="minor"/>
      </rPr>
      <t>TAX</t>
    </r>
  </si>
  <si>
    <t>WACC =</t>
  </si>
  <si>
    <t>Year</t>
  </si>
  <si>
    <t>Debt</t>
  </si>
  <si>
    <t>Revenue</t>
  </si>
  <si>
    <t>Dep</t>
  </si>
  <si>
    <t>EBIT</t>
  </si>
  <si>
    <t>NOPLAT</t>
  </si>
  <si>
    <t>FCF</t>
  </si>
  <si>
    <t>ROIC</t>
  </si>
  <si>
    <r>
      <t xml:space="preserve">ECON </t>
    </r>
    <r>
      <rPr>
        <b/>
        <sz val="11"/>
        <color theme="1"/>
        <rFont val="Calibri"/>
        <family val="2"/>
      </rPr>
      <t>π</t>
    </r>
  </si>
  <si>
    <t>APV Model</t>
  </si>
  <si>
    <t>KVD</t>
  </si>
  <si>
    <r>
      <t>V</t>
    </r>
    <r>
      <rPr>
        <b/>
        <vertAlign val="subscript"/>
        <sz val="11"/>
        <color rgb="FF7030A0"/>
        <rFont val="Calibri"/>
        <family val="2"/>
        <scheme val="minor"/>
      </rPr>
      <t>FCF</t>
    </r>
  </si>
  <si>
    <r>
      <t>V</t>
    </r>
    <r>
      <rPr>
        <b/>
        <vertAlign val="subscript"/>
        <sz val="11"/>
        <color rgb="FF7030A0"/>
        <rFont val="Calibri"/>
        <family val="2"/>
        <scheme val="minor"/>
      </rPr>
      <t>TAX</t>
    </r>
  </si>
  <si>
    <t>Econ Profit</t>
  </si>
  <si>
    <r>
      <t>PV</t>
    </r>
    <r>
      <rPr>
        <b/>
        <vertAlign val="subscript"/>
        <sz val="11"/>
        <color rgb="FFFF0000"/>
        <rFont val="Calibri"/>
        <family val="2"/>
        <scheme val="minor"/>
      </rPr>
      <t>ECON</t>
    </r>
    <r>
      <rPr>
        <b/>
        <vertAlign val="subscript"/>
        <sz val="11"/>
        <color rgb="FFFF0000"/>
        <rFont val="Calibri"/>
        <family val="2"/>
      </rPr>
      <t>π</t>
    </r>
  </si>
  <si>
    <r>
      <t>Total PV</t>
    </r>
    <r>
      <rPr>
        <b/>
        <vertAlign val="subscript"/>
        <sz val="11"/>
        <color rgb="FFFF0000"/>
        <rFont val="Calibri"/>
        <family val="2"/>
        <scheme val="minor"/>
      </rPr>
      <t>ECON</t>
    </r>
    <r>
      <rPr>
        <b/>
        <vertAlign val="subscript"/>
        <sz val="11"/>
        <color rgb="FFFF0000"/>
        <rFont val="Calibri"/>
        <family val="2"/>
      </rPr>
      <t>π</t>
    </r>
  </si>
  <si>
    <r>
      <t>PV</t>
    </r>
    <r>
      <rPr>
        <b/>
        <vertAlign val="subscript"/>
        <sz val="11"/>
        <color rgb="FF008000"/>
        <rFont val="Calibri"/>
        <family val="2"/>
        <scheme val="minor"/>
      </rPr>
      <t>DCF(FCF)</t>
    </r>
  </si>
  <si>
    <r>
      <t>Total PV</t>
    </r>
    <r>
      <rPr>
        <b/>
        <vertAlign val="subscript"/>
        <sz val="11"/>
        <color rgb="FF008000"/>
        <rFont val="Calibri"/>
        <family val="2"/>
        <scheme val="minor"/>
      </rPr>
      <t>DCF(FCF)</t>
    </r>
  </si>
  <si>
    <r>
      <t>PV</t>
    </r>
    <r>
      <rPr>
        <b/>
        <vertAlign val="subscript"/>
        <sz val="11"/>
        <rFont val="Calibri"/>
        <family val="2"/>
        <scheme val="minor"/>
      </rPr>
      <t>DCF(FCF)</t>
    </r>
  </si>
  <si>
    <r>
      <t>Total PV</t>
    </r>
    <r>
      <rPr>
        <b/>
        <vertAlign val="subscript"/>
        <sz val="11"/>
        <rFont val="Calibri"/>
        <family val="2"/>
        <scheme val="minor"/>
      </rPr>
      <t>DCF(FCF)</t>
    </r>
  </si>
  <si>
    <r>
      <t>PV</t>
    </r>
    <r>
      <rPr>
        <b/>
        <vertAlign val="subscript"/>
        <sz val="11"/>
        <color rgb="FF7030A0"/>
        <rFont val="Calibri"/>
        <family val="2"/>
        <scheme val="minor"/>
      </rPr>
      <t>DCF(FCF)</t>
    </r>
  </si>
  <si>
    <r>
      <t>Total PV</t>
    </r>
    <r>
      <rPr>
        <b/>
        <vertAlign val="subscript"/>
        <sz val="11"/>
        <color rgb="FF7030A0"/>
        <rFont val="Calibri"/>
        <family val="2"/>
        <scheme val="minor"/>
      </rPr>
      <t>DCF(FCF)</t>
    </r>
  </si>
  <si>
    <t>Tax Shield</t>
  </si>
  <si>
    <r>
      <t>PV</t>
    </r>
    <r>
      <rPr>
        <b/>
        <vertAlign val="subscript"/>
        <sz val="11"/>
        <color rgb="FF7030A0"/>
        <rFont val="Calibri"/>
        <family val="2"/>
        <scheme val="minor"/>
      </rPr>
      <t>Tax Shield</t>
    </r>
  </si>
  <si>
    <r>
      <t>Total       PV</t>
    </r>
    <r>
      <rPr>
        <b/>
        <vertAlign val="subscript"/>
        <sz val="11"/>
        <color rgb="FF7030A0"/>
        <rFont val="Calibri"/>
        <family val="2"/>
        <scheme val="minor"/>
      </rPr>
      <t>Tax Shield</t>
    </r>
  </si>
  <si>
    <r>
      <t>PV</t>
    </r>
    <r>
      <rPr>
        <b/>
        <vertAlign val="subscript"/>
        <sz val="11"/>
        <color rgb="FF002060"/>
        <rFont val="Calibri"/>
        <family val="2"/>
        <scheme val="minor"/>
      </rPr>
      <t>DCF(FCF)</t>
    </r>
  </si>
  <si>
    <r>
      <t>Total PV</t>
    </r>
    <r>
      <rPr>
        <b/>
        <vertAlign val="subscript"/>
        <sz val="11"/>
        <color rgb="FF002060"/>
        <rFont val="Calibri"/>
        <family val="2"/>
        <scheme val="minor"/>
      </rPr>
      <t>DCF(FCF)</t>
    </r>
  </si>
  <si>
    <r>
      <t>PV</t>
    </r>
    <r>
      <rPr>
        <b/>
        <vertAlign val="subscript"/>
        <sz val="11"/>
        <color rgb="FF0000CC"/>
        <rFont val="Calibri"/>
        <family val="2"/>
        <scheme val="minor"/>
      </rPr>
      <t>DCF(FCF)</t>
    </r>
  </si>
  <si>
    <r>
      <t>Total PV</t>
    </r>
    <r>
      <rPr>
        <b/>
        <vertAlign val="subscript"/>
        <sz val="11"/>
        <color rgb="FF0000CC"/>
        <rFont val="Calibri"/>
        <family val="2"/>
        <scheme val="minor"/>
      </rPr>
      <t>DCF(FCF)</t>
    </r>
  </si>
  <si>
    <r>
      <t>PV</t>
    </r>
    <r>
      <rPr>
        <b/>
        <vertAlign val="subscript"/>
        <sz val="11"/>
        <color rgb="FF660066"/>
        <rFont val="Calibri"/>
        <family val="2"/>
        <scheme val="minor"/>
      </rPr>
      <t>DCF(FCF)</t>
    </r>
  </si>
  <si>
    <r>
      <t>Total PV</t>
    </r>
    <r>
      <rPr>
        <b/>
        <vertAlign val="subscript"/>
        <sz val="11"/>
        <color rgb="FF660066"/>
        <rFont val="Calibri"/>
        <family val="2"/>
        <scheme val="minor"/>
      </rPr>
      <t>DCF(FCF)</t>
    </r>
  </si>
  <si>
    <r>
      <t>PV</t>
    </r>
    <r>
      <rPr>
        <b/>
        <vertAlign val="subscript"/>
        <sz val="11"/>
        <rFont val="Calibri"/>
        <family val="2"/>
        <scheme val="minor"/>
      </rPr>
      <t>DCF</t>
    </r>
  </si>
  <si>
    <r>
      <t>PV</t>
    </r>
    <r>
      <rPr>
        <b/>
        <vertAlign val="subscript"/>
        <sz val="11"/>
        <color rgb="FF7030A0"/>
        <rFont val="Calibri"/>
        <family val="2"/>
        <scheme val="minor"/>
      </rPr>
      <t>DCF(TS)</t>
    </r>
  </si>
  <si>
    <r>
      <t>PV</t>
    </r>
    <r>
      <rPr>
        <b/>
        <vertAlign val="subscript"/>
        <sz val="11"/>
        <color rgb="FF002060"/>
        <rFont val="Calibri"/>
        <family val="2"/>
        <scheme val="minor"/>
      </rPr>
      <t>DCF</t>
    </r>
  </si>
  <si>
    <t>Target EV/EBIT</t>
  </si>
  <si>
    <r>
      <t>PV</t>
    </r>
    <r>
      <rPr>
        <b/>
        <vertAlign val="subscript"/>
        <sz val="11"/>
        <color rgb="FF0000CC"/>
        <rFont val="Calibri"/>
        <family val="2"/>
        <scheme val="minor"/>
      </rPr>
      <t>DCF</t>
    </r>
  </si>
  <si>
    <r>
      <t>PV</t>
    </r>
    <r>
      <rPr>
        <b/>
        <vertAlign val="subscript"/>
        <sz val="11"/>
        <color rgb="FF660066"/>
        <rFont val="Calibri"/>
        <family val="2"/>
        <scheme val="minor"/>
      </rPr>
      <t>DCF</t>
    </r>
  </si>
  <si>
    <r>
      <t>PV</t>
    </r>
    <r>
      <rPr>
        <b/>
        <vertAlign val="subscript"/>
        <sz val="11"/>
        <color rgb="FFFF0000"/>
        <rFont val="Calibri"/>
        <family val="2"/>
        <scheme val="minor"/>
      </rPr>
      <t>EXPLICIT</t>
    </r>
  </si>
  <si>
    <r>
      <t>CV</t>
    </r>
    <r>
      <rPr>
        <b/>
        <vertAlign val="subscript"/>
        <sz val="11"/>
        <color rgb="FF008000"/>
        <rFont val="Calibri"/>
        <family val="2"/>
        <scheme val="minor"/>
      </rPr>
      <t>FCF</t>
    </r>
  </si>
  <si>
    <r>
      <t>CV</t>
    </r>
    <r>
      <rPr>
        <b/>
        <vertAlign val="subscript"/>
        <sz val="11"/>
        <rFont val="Calibri"/>
        <family val="2"/>
        <scheme val="minor"/>
      </rPr>
      <t>KVD</t>
    </r>
  </si>
  <si>
    <r>
      <t>CV</t>
    </r>
    <r>
      <rPr>
        <b/>
        <vertAlign val="subscript"/>
        <sz val="11"/>
        <color rgb="FF7030A0"/>
        <rFont val="Calibri"/>
        <family val="2"/>
        <scheme val="minor"/>
      </rPr>
      <t>FCF</t>
    </r>
  </si>
  <si>
    <r>
      <t>CV</t>
    </r>
    <r>
      <rPr>
        <b/>
        <vertAlign val="subscript"/>
        <sz val="11"/>
        <color rgb="FF7030A0"/>
        <rFont val="Calibri"/>
        <family val="2"/>
        <scheme val="minor"/>
      </rPr>
      <t>TS</t>
    </r>
  </si>
  <si>
    <r>
      <t>CV</t>
    </r>
    <r>
      <rPr>
        <b/>
        <vertAlign val="subscript"/>
        <sz val="11"/>
        <color rgb="FF002060"/>
        <rFont val="Calibri"/>
        <family val="2"/>
        <scheme val="minor"/>
      </rPr>
      <t>FMM</t>
    </r>
  </si>
  <si>
    <r>
      <t>CV</t>
    </r>
    <r>
      <rPr>
        <b/>
        <vertAlign val="subscript"/>
        <sz val="11"/>
        <color rgb="FF0000CC"/>
        <rFont val="Calibri"/>
        <family val="2"/>
        <scheme val="minor"/>
      </rPr>
      <t>FMM</t>
    </r>
  </si>
  <si>
    <r>
      <t>CV</t>
    </r>
    <r>
      <rPr>
        <b/>
        <vertAlign val="subscript"/>
        <sz val="11"/>
        <color rgb="FF660066"/>
        <rFont val="Calibri"/>
        <family val="2"/>
        <scheme val="minor"/>
      </rPr>
      <t>FMM</t>
    </r>
  </si>
  <si>
    <r>
      <t>CV</t>
    </r>
    <r>
      <rPr>
        <b/>
        <vertAlign val="subscript"/>
        <sz val="11"/>
        <color rgb="FFFF0000"/>
        <rFont val="Calibri"/>
        <family val="2"/>
        <scheme val="minor"/>
      </rPr>
      <t xml:space="preserve">ECON </t>
    </r>
    <r>
      <rPr>
        <b/>
        <vertAlign val="subscript"/>
        <sz val="11"/>
        <color rgb="FFFF0000"/>
        <rFont val="Calibri"/>
        <family val="2"/>
      </rPr>
      <t>π</t>
    </r>
  </si>
  <si>
    <r>
      <t>PV</t>
    </r>
    <r>
      <rPr>
        <b/>
        <vertAlign val="subscript"/>
        <sz val="11"/>
        <color rgb="FF008000"/>
        <rFont val="Calibri"/>
        <family val="2"/>
        <scheme val="minor"/>
      </rPr>
      <t>CV(FCF)</t>
    </r>
  </si>
  <si>
    <r>
      <t>PV</t>
    </r>
    <r>
      <rPr>
        <b/>
        <vertAlign val="subscript"/>
        <sz val="11"/>
        <rFont val="Calibri"/>
        <family val="2"/>
        <scheme val="minor"/>
      </rPr>
      <t>CV</t>
    </r>
  </si>
  <si>
    <r>
      <t>PV</t>
    </r>
    <r>
      <rPr>
        <b/>
        <vertAlign val="subscript"/>
        <sz val="11"/>
        <color rgb="FF7030A0"/>
        <rFont val="Calibri"/>
        <family val="2"/>
        <scheme val="minor"/>
      </rPr>
      <t>CV(FCF)</t>
    </r>
  </si>
  <si>
    <r>
      <t>PV</t>
    </r>
    <r>
      <rPr>
        <b/>
        <vertAlign val="subscript"/>
        <sz val="11"/>
        <color rgb="FF7030A0"/>
        <rFont val="Calibri"/>
        <family val="2"/>
        <scheme val="minor"/>
      </rPr>
      <t>CV(TS)</t>
    </r>
  </si>
  <si>
    <r>
      <t>PV</t>
    </r>
    <r>
      <rPr>
        <b/>
        <vertAlign val="subscript"/>
        <sz val="11"/>
        <color rgb="FF002060"/>
        <rFont val="Calibri"/>
        <family val="2"/>
        <scheme val="minor"/>
      </rPr>
      <t>CV</t>
    </r>
  </si>
  <si>
    <r>
      <t>PV</t>
    </r>
    <r>
      <rPr>
        <b/>
        <vertAlign val="subscript"/>
        <sz val="11"/>
        <color rgb="FF0000CC"/>
        <rFont val="Calibri"/>
        <family val="2"/>
        <scheme val="minor"/>
      </rPr>
      <t>CV</t>
    </r>
  </si>
  <si>
    <r>
      <t>PV</t>
    </r>
    <r>
      <rPr>
        <b/>
        <vertAlign val="subscript"/>
        <sz val="11"/>
        <color rgb="FF660066"/>
        <rFont val="Calibri"/>
        <family val="2"/>
        <scheme val="minor"/>
      </rPr>
      <t>CV</t>
    </r>
  </si>
  <si>
    <r>
      <t>PV</t>
    </r>
    <r>
      <rPr>
        <b/>
        <vertAlign val="subscript"/>
        <sz val="11"/>
        <color rgb="FFFF0000"/>
        <rFont val="Calibri"/>
        <family val="2"/>
        <scheme val="minor"/>
      </rPr>
      <t>CV</t>
    </r>
  </si>
  <si>
    <r>
      <t>VALUE</t>
    </r>
    <r>
      <rPr>
        <b/>
        <vertAlign val="subscript"/>
        <sz val="11"/>
        <color rgb="FF008000"/>
        <rFont val="Calibri"/>
        <family val="2"/>
        <scheme val="minor"/>
      </rPr>
      <t>FCF</t>
    </r>
  </si>
  <si>
    <r>
      <t>VALUE</t>
    </r>
    <r>
      <rPr>
        <b/>
        <vertAlign val="subscript"/>
        <sz val="11"/>
        <rFont val="Calibri"/>
        <family val="2"/>
        <scheme val="minor"/>
      </rPr>
      <t>KVD</t>
    </r>
  </si>
  <si>
    <r>
      <t>VALUE</t>
    </r>
    <r>
      <rPr>
        <b/>
        <vertAlign val="subscript"/>
        <sz val="11"/>
        <color rgb="FF7030A0"/>
        <rFont val="Calibri"/>
        <family val="2"/>
        <scheme val="minor"/>
      </rPr>
      <t>FCF</t>
    </r>
  </si>
  <si>
    <r>
      <t>VALUE</t>
    </r>
    <r>
      <rPr>
        <b/>
        <vertAlign val="subscript"/>
        <sz val="11"/>
        <color rgb="FF7030A0"/>
        <rFont val="Calibri"/>
        <family val="2"/>
        <scheme val="minor"/>
      </rPr>
      <t>TAX</t>
    </r>
  </si>
  <si>
    <r>
      <t>VALUE</t>
    </r>
    <r>
      <rPr>
        <b/>
        <vertAlign val="subscript"/>
        <sz val="11"/>
        <color rgb="FF002060"/>
        <rFont val="Calibri"/>
        <family val="2"/>
        <scheme val="minor"/>
      </rPr>
      <t>FMM</t>
    </r>
  </si>
  <si>
    <r>
      <t>VALUE</t>
    </r>
    <r>
      <rPr>
        <b/>
        <vertAlign val="subscript"/>
        <sz val="11"/>
        <color rgb="FF0000CC"/>
        <rFont val="Calibri"/>
        <family val="2"/>
        <scheme val="minor"/>
      </rPr>
      <t>FMM</t>
    </r>
  </si>
  <si>
    <r>
      <t>VALUE</t>
    </r>
    <r>
      <rPr>
        <b/>
        <vertAlign val="subscript"/>
        <sz val="11"/>
        <color rgb="FF660066"/>
        <rFont val="Calibri"/>
        <family val="2"/>
        <scheme val="minor"/>
      </rPr>
      <t>FMM</t>
    </r>
  </si>
  <si>
    <r>
      <t>VALUE</t>
    </r>
    <r>
      <rPr>
        <b/>
        <vertAlign val="subscript"/>
        <sz val="11"/>
        <color rgb="FFFF0000"/>
        <rFont val="Calibri"/>
        <family val="2"/>
        <scheme val="minor"/>
      </rPr>
      <t xml:space="preserve">ECON </t>
    </r>
    <r>
      <rPr>
        <b/>
        <vertAlign val="subscript"/>
        <sz val="11"/>
        <color rgb="FFFF0000"/>
        <rFont val="Calibri"/>
        <family val="2"/>
      </rPr>
      <t>π</t>
    </r>
  </si>
  <si>
    <t>APV</t>
  </si>
  <si>
    <t>Tax Rate on Taxes Paid</t>
  </si>
  <si>
    <t>Tax Rates</t>
  </si>
  <si>
    <t>Non-Operating Items</t>
  </si>
  <si>
    <t>Royalties (net)</t>
  </si>
  <si>
    <t>Fixed Operating Assets</t>
  </si>
  <si>
    <t>Non-Operating Assets</t>
  </si>
  <si>
    <t>Market Value of Bonds</t>
  </si>
  <si>
    <t># Bonds</t>
  </si>
  <si>
    <t>F</t>
  </si>
  <si>
    <t>C</t>
  </si>
  <si>
    <t>YTM</t>
  </si>
  <si>
    <t>P/YR</t>
  </si>
  <si>
    <t>Years Remaining</t>
  </si>
  <si>
    <t>Market Value per Bond</t>
  </si>
  <si>
    <t>Equity</t>
  </si>
  <si>
    <t>Preferred</t>
  </si>
  <si>
    <t>Long Run growth rate of FCF</t>
  </si>
  <si>
    <t>Adjustments</t>
  </si>
  <si>
    <t>Liberally use capital markets to fund firm growth</t>
  </si>
  <si>
    <t>CV Year</t>
  </si>
  <si>
    <t>Explicit Year</t>
  </si>
  <si>
    <t>Reduce interest rate on firms LTD to your cost of borrowing at market rate of 7%</t>
  </si>
  <si>
    <t>Base year D/IC ratio</t>
  </si>
  <si>
    <t>Base year IC/Rev ratio</t>
  </si>
  <si>
    <t>Rev/IC ratio</t>
  </si>
  <si>
    <r>
      <t xml:space="preserve">%  </t>
    </r>
    <r>
      <rPr>
        <b/>
        <sz val="11"/>
        <color theme="1"/>
        <rFont val="Calibri"/>
        <family val="2"/>
      </rPr>
      <t xml:space="preserve">∆ </t>
    </r>
    <r>
      <rPr>
        <b/>
        <sz val="11"/>
        <color theme="1"/>
        <rFont val="Calibri"/>
        <family val="2"/>
        <scheme val="minor"/>
      </rPr>
      <t>Revenue</t>
    </r>
  </si>
  <si>
    <t>Debt/IC ratio</t>
  </si>
  <si>
    <t>Reduce COGS and S&amp;M by 3% each  year</t>
  </si>
  <si>
    <t>Slow growth of IC by decreasing IC/REV ratio each year after the base  year without sacrificing sales revenue - thereby improving the operating efficiency of the firm - see Capital Efficiency Adjustment</t>
  </si>
  <si>
    <t>Debt Capital Utility Adjustment</t>
  </si>
  <si>
    <t xml:space="preserve">Increase firm revenue by 6%, with 3 year persistency </t>
  </si>
  <si>
    <r>
      <rPr>
        <sz val="11"/>
        <color theme="0"/>
        <rFont val="Calibri"/>
        <family val="2"/>
        <scheme val="minor"/>
      </rPr>
      <t>_</t>
    </r>
    <r>
      <rPr>
        <vertAlign val="superscript"/>
        <sz val="11"/>
        <color rgb="FF7030A0"/>
        <rFont val="Calibri"/>
        <family val="2"/>
        <scheme val="minor"/>
      </rPr>
      <t>1</t>
    </r>
  </si>
  <si>
    <t>Marketable Securities</t>
  </si>
  <si>
    <t>Wages Payable</t>
  </si>
  <si>
    <t>Taxes Payable</t>
  </si>
  <si>
    <t>Office Buildings</t>
  </si>
  <si>
    <t>Warehouses</t>
  </si>
  <si>
    <t>Production Plant</t>
  </si>
  <si>
    <t>Lease Obligations</t>
  </si>
  <si>
    <t>Renewables</t>
  </si>
  <si>
    <t>Batteries</t>
  </si>
  <si>
    <t>Systems</t>
  </si>
  <si>
    <t>Interest</t>
  </si>
  <si>
    <t>Production Labor</t>
  </si>
  <si>
    <t>Materials</t>
  </si>
  <si>
    <t>Consulting</t>
  </si>
  <si>
    <t>Leases</t>
  </si>
  <si>
    <t>Sales &amp; Mkt</t>
  </si>
  <si>
    <t>Admin</t>
  </si>
  <si>
    <t>Facilities</t>
  </si>
  <si>
    <r>
      <rPr>
        <sz val="11"/>
        <color theme="0"/>
        <rFont val="Calibri"/>
        <family val="2"/>
        <scheme val="minor"/>
      </rPr>
      <t>_</t>
    </r>
    <r>
      <rPr>
        <vertAlign val="superscript"/>
        <sz val="11"/>
        <color rgb="FF7030A0"/>
        <rFont val="Calibri"/>
        <family val="2"/>
        <scheme val="minor"/>
      </rPr>
      <t>2</t>
    </r>
  </si>
  <si>
    <t>Revenue and Interest Expense adjustments are nominal; operating expense adjustments are proportional</t>
  </si>
  <si>
    <t>Subject Income Variable</t>
  </si>
  <si>
    <t>TAX</t>
  </si>
  <si>
    <t>Avg Tax Rate</t>
  </si>
  <si>
    <t>Taxable Income Over</t>
  </si>
  <si>
    <t>But Not Over</t>
  </si>
  <si>
    <t>Tax Rate</t>
  </si>
  <si>
    <t>Tax in bracket</t>
  </si>
  <si>
    <t>Running Total</t>
  </si>
  <si>
    <t>Pre-2018 Federal Corporate Income Tax Schedule</t>
  </si>
  <si>
    <t>Post-2017 Federal Corporate Income Tax Schedule</t>
  </si>
  <si>
    <t>Tax Paid</t>
  </si>
  <si>
    <t>EV/EBIT</t>
  </si>
  <si>
    <t>Observed EV/EBIT</t>
  </si>
  <si>
    <t>Base EV/EBIT</t>
  </si>
  <si>
    <t>Base Adj</t>
  </si>
  <si>
    <t>Target Adj</t>
  </si>
  <si>
    <t>% Change</t>
  </si>
  <si>
    <t>Prior Year Growth</t>
  </si>
  <si>
    <t>Eplicit Forecast</t>
  </si>
  <si>
    <t>Expected Category Growth</t>
  </si>
  <si>
    <t>Expected Category Revenue</t>
  </si>
  <si>
    <t>Revenue Source</t>
  </si>
  <si>
    <t>Expected Industry growth</t>
  </si>
  <si>
    <t>Revenue Category</t>
  </si>
  <si>
    <t>Industry Leadership</t>
  </si>
  <si>
    <t>New Product</t>
  </si>
  <si>
    <t xml:space="preserve">Asset Reposition </t>
  </si>
  <si>
    <t>Current Year Weight</t>
  </si>
  <si>
    <t>Weighted Avgerage Growth</t>
  </si>
  <si>
    <r>
      <rPr>
        <sz val="11"/>
        <color theme="0"/>
        <rFont val="Calibri"/>
        <family val="2"/>
        <scheme val="minor"/>
      </rPr>
      <t>_</t>
    </r>
    <r>
      <rPr>
        <vertAlign val="superscript"/>
        <sz val="11"/>
        <color rgb="FF7030A0"/>
        <rFont val="Calibri"/>
        <family val="2"/>
        <scheme val="minor"/>
      </rPr>
      <t>3</t>
    </r>
  </si>
  <si>
    <r>
      <t>Adjustments</t>
    </r>
    <r>
      <rPr>
        <vertAlign val="superscript"/>
        <sz val="11"/>
        <color rgb="FF7030A0"/>
        <rFont val="Calibri"/>
        <family val="2"/>
        <scheme val="minor"/>
      </rPr>
      <t>3</t>
    </r>
  </si>
  <si>
    <t>Forecast ratio for revenue is average annual Revenue growth rate as detailed in Rev Forecast sheet calculations</t>
  </si>
  <si>
    <r>
      <t>Forecast Ratios</t>
    </r>
    <r>
      <rPr>
        <vertAlign val="superscript"/>
        <sz val="11"/>
        <color rgb="FF7030A0"/>
        <rFont val="Calibri"/>
        <family val="2"/>
        <scheme val="minor"/>
      </rPr>
      <t>1,2</t>
    </r>
  </si>
  <si>
    <r>
      <t>Invested Capital</t>
    </r>
    <r>
      <rPr>
        <b/>
        <vertAlign val="superscript"/>
        <sz val="11"/>
        <color rgb="FF7030A0"/>
        <rFont val="Calibri"/>
        <family val="2"/>
        <scheme val="minor"/>
      </rPr>
      <t>4</t>
    </r>
  </si>
  <si>
    <r>
      <rPr>
        <sz val="11"/>
        <color theme="0"/>
        <rFont val="Calibri"/>
        <family val="2"/>
        <scheme val="minor"/>
      </rPr>
      <t>_</t>
    </r>
    <r>
      <rPr>
        <vertAlign val="superscript"/>
        <sz val="11"/>
        <color rgb="FF7030A0"/>
        <rFont val="Calibri"/>
        <family val="2"/>
        <scheme val="minor"/>
      </rPr>
      <t>4</t>
    </r>
  </si>
  <si>
    <t>Invested Capital calculated as FA + NWC (operations approach)</t>
  </si>
  <si>
    <r>
      <t>NWC</t>
    </r>
    <r>
      <rPr>
        <b/>
        <vertAlign val="superscript"/>
        <sz val="11"/>
        <color rgb="FF7030A0"/>
        <rFont val="Calibri"/>
        <family val="2"/>
      </rPr>
      <t>5</t>
    </r>
  </si>
  <si>
    <r>
      <t>FA</t>
    </r>
    <r>
      <rPr>
        <b/>
        <vertAlign val="superscript"/>
        <sz val="11"/>
        <color rgb="FF7030A0"/>
        <rFont val="Calibri"/>
        <family val="2"/>
      </rPr>
      <t>5</t>
    </r>
  </si>
  <si>
    <r>
      <rPr>
        <sz val="11"/>
        <color theme="0"/>
        <rFont val="Calibri"/>
        <family val="2"/>
        <scheme val="minor"/>
      </rPr>
      <t>_</t>
    </r>
    <r>
      <rPr>
        <vertAlign val="superscript"/>
        <sz val="11"/>
        <color rgb="FF7030A0"/>
        <rFont val="Calibri"/>
        <family val="2"/>
        <scheme val="minor"/>
      </rPr>
      <t>5</t>
    </r>
  </si>
  <si>
    <t>FA and NWC growth mirrors the growth of revenue (adjusted for compounded Capital Efficiency Adjustment)</t>
  </si>
  <si>
    <t>Explicit revenue forecasts for years 1-5; for years 6 - 10 revenue growth projected to decline by Revenue Adjustment percentage, as noted, per year from 2022 forecasted growth levels</t>
  </si>
  <si>
    <r>
      <t>Interest Expense</t>
    </r>
    <r>
      <rPr>
        <b/>
        <vertAlign val="superscript"/>
        <sz val="11"/>
        <color rgb="FF7030A0"/>
        <rFont val="Calibri"/>
        <family val="2"/>
        <scheme val="minor"/>
      </rPr>
      <t>6</t>
    </r>
  </si>
  <si>
    <r>
      <rPr>
        <sz val="11"/>
        <color theme="0"/>
        <rFont val="Calibri"/>
        <family val="2"/>
        <scheme val="minor"/>
      </rPr>
      <t>_</t>
    </r>
    <r>
      <rPr>
        <vertAlign val="superscript"/>
        <sz val="11"/>
        <color rgb="FF7030A0"/>
        <rFont val="Calibri"/>
        <family val="2"/>
        <scheme val="minor"/>
      </rPr>
      <t>6</t>
    </r>
  </si>
  <si>
    <t>Interest Expense adjustment is a direct, nominal adjustment to forecasted interest rate</t>
  </si>
  <si>
    <t>Unearned Service Revenues</t>
  </si>
  <si>
    <t>Benefits Payable</t>
  </si>
  <si>
    <t>Bonds Issued</t>
  </si>
  <si>
    <t>Bank Loans</t>
  </si>
  <si>
    <r>
      <t>k</t>
    </r>
    <r>
      <rPr>
        <vertAlign val="subscript"/>
        <sz val="11"/>
        <color theme="1"/>
        <rFont val="Calibri"/>
        <family val="2"/>
        <scheme val="minor"/>
      </rPr>
      <t>d</t>
    </r>
  </si>
  <si>
    <r>
      <t>k</t>
    </r>
    <r>
      <rPr>
        <vertAlign val="subscript"/>
        <sz val="11"/>
        <color theme="1"/>
        <rFont val="Calibri"/>
        <family val="2"/>
        <scheme val="minor"/>
      </rPr>
      <t xml:space="preserve">U </t>
    </r>
    <r>
      <rPr>
        <sz val="11"/>
        <color theme="1"/>
        <rFont val="Calibri"/>
        <family val="2"/>
        <scheme val="minor"/>
      </rPr>
      <t xml:space="preserve">   </t>
    </r>
  </si>
  <si>
    <t>Firm incorporated in 2009 with 5,000,000 shares each issued at $1.00 per share</t>
  </si>
  <si>
    <t>Required Return</t>
  </si>
  <si>
    <t>Decremented</t>
  </si>
  <si>
    <t>Forecasted Revenue</t>
  </si>
  <si>
    <t xml:space="preserve">Decremented Revenue % Change </t>
  </si>
  <si>
    <t>Long Run Growth</t>
  </si>
  <si>
    <t>Cash</t>
  </si>
  <si>
    <r>
      <t>Invested Capital Efficiency Adjustment</t>
    </r>
    <r>
      <rPr>
        <vertAlign val="superscript"/>
        <sz val="11"/>
        <color rgb="FF7030A0"/>
        <rFont val="Calibri"/>
        <family val="2"/>
        <scheme val="minor"/>
      </rPr>
      <t>5</t>
    </r>
  </si>
  <si>
    <t>FMM (EV/EBIT 2017 observed)</t>
  </si>
  <si>
    <t>FMM (EV/EBIT Base)</t>
  </si>
  <si>
    <t>FMM (EV/EBIT Target)</t>
  </si>
  <si>
    <t>Internal Rate of Return (IRR) and Net Present Value (NPV) Analysis</t>
  </si>
  <si>
    <t xml:space="preserve">Purchase Premium over Enterprise Value = </t>
  </si>
  <si>
    <t xml:space="preserve">Enterprise Value = </t>
  </si>
  <si>
    <t>Initial Investment</t>
  </si>
  <si>
    <t>NPV</t>
  </si>
  <si>
    <t>IRR</t>
  </si>
  <si>
    <t>MIRR</t>
  </si>
  <si>
    <t>Economic Profit</t>
  </si>
  <si>
    <r>
      <t>Cash Flow</t>
    </r>
    <r>
      <rPr>
        <b/>
        <vertAlign val="subscript"/>
        <sz val="11"/>
        <color rgb="FF7030A0"/>
        <rFont val="Calibri"/>
        <family val="2"/>
        <scheme val="minor"/>
      </rPr>
      <t>APV</t>
    </r>
  </si>
  <si>
    <t>Cash Flow</t>
  </si>
  <si>
    <t xml:space="preserve">Purchase Offer = </t>
  </si>
  <si>
    <t>Enterprise Value (EV)</t>
  </si>
  <si>
    <r>
      <t>K</t>
    </r>
    <r>
      <rPr>
        <vertAlign val="subscript"/>
        <sz val="11"/>
        <color theme="1"/>
        <rFont val="Calibri"/>
        <family val="2"/>
        <scheme val="minor"/>
      </rPr>
      <t>TAX</t>
    </r>
  </si>
  <si>
    <r>
      <t>K</t>
    </r>
    <r>
      <rPr>
        <vertAlign val="subscript"/>
        <sz val="11"/>
        <color theme="1"/>
        <rFont val="Calibri"/>
        <family val="2"/>
        <scheme val="minor"/>
      </rPr>
      <t>D</t>
    </r>
  </si>
  <si>
    <r>
      <t>K</t>
    </r>
    <r>
      <rPr>
        <vertAlign val="subscript"/>
        <sz val="11"/>
        <color theme="1"/>
        <rFont val="Calibri"/>
        <family val="2"/>
        <scheme val="minor"/>
      </rPr>
      <t>U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</si>
</sst>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8" formatCode="&quot;$&quot;#,##0.00_);[Red]\(&quot;$&quot;#,##0.00\)"/>
    <numFmt numFmtId="43" formatCode="_(* #,##0.00_);_(* \(#,##0.00\);_(* &quot;-&quot;??_);_(@_)"/>
    <numFmt numFmtId="164" formatCode="_(* #,##0_);_(* \(#,##0\);_(* &quot;-&quot;??_);_(@_)"/>
    <numFmt numFmtId="165" formatCode="0.0000"/>
    <numFmt numFmtId="166" formatCode="_(* #,##0.0000_);_(* \(#,##0.0000\);_(* &quot;-&quot;??_);_(@_)"/>
    <numFmt numFmtId="167" formatCode="0.000"/>
    <numFmt numFmtId="168" formatCode="0.0"/>
    <numFmt numFmtId="169" formatCode="0.00000"/>
    <numFmt numFmtId="170" formatCode="0.0%"/>
    <numFmt numFmtId="171" formatCode="_(* #,##0.000_);_(* \(#,##0.000\);_(* &quot;-&quot;??_);_(@_)"/>
    <numFmt numFmtId="172" formatCode="0.000%"/>
    <numFmt numFmtId="173" formatCode="_(* #,##0.000_);_(* \(#,##0.000\);_(* &quot;-&quot;???_);_(@_)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vertAlign val="subscript"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vertAlign val="subscript"/>
      <sz val="11"/>
      <color rgb="FF0070C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vertAlign val="subscript"/>
      <sz val="11"/>
      <color rgb="FF00B05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vertAlign val="subscript"/>
      <sz val="11"/>
      <color rgb="FFC0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1"/>
      <name val="Calibri"/>
      <family val="2"/>
    </font>
    <font>
      <b/>
      <sz val="11"/>
      <color theme="1"/>
      <name val="Calibri"/>
      <family val="2"/>
    </font>
    <font>
      <sz val="11"/>
      <color rgb="FF7030A0"/>
      <name val="Calibri"/>
      <family val="2"/>
      <scheme val="minor"/>
    </font>
    <font>
      <b/>
      <vertAlign val="subscript"/>
      <sz val="11"/>
      <color rgb="FFFF0000"/>
      <name val="Calibri"/>
      <family val="2"/>
      <scheme val="minor"/>
    </font>
    <font>
      <b/>
      <sz val="11"/>
      <color rgb="FF008000"/>
      <name val="Calibri"/>
      <family val="2"/>
      <scheme val="minor"/>
    </font>
    <font>
      <b/>
      <sz val="11"/>
      <name val="Calibri"/>
      <family val="2"/>
      <scheme val="minor"/>
    </font>
    <font>
      <b/>
      <vertAlign val="subscript"/>
      <sz val="11"/>
      <color rgb="FF7030A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1"/>
      <color rgb="FF0000CC"/>
      <name val="Calibri"/>
      <family val="2"/>
      <scheme val="minor"/>
    </font>
    <font>
      <b/>
      <sz val="11"/>
      <color rgb="FF660066"/>
      <name val="Calibri"/>
      <family val="2"/>
      <scheme val="minor"/>
    </font>
    <font>
      <b/>
      <vertAlign val="subscript"/>
      <sz val="11"/>
      <color rgb="FFFF0000"/>
      <name val="Calibri"/>
      <family val="2"/>
    </font>
    <font>
      <b/>
      <vertAlign val="subscript"/>
      <sz val="11"/>
      <color rgb="FF008000"/>
      <name val="Calibri"/>
      <family val="2"/>
      <scheme val="minor"/>
    </font>
    <font>
      <b/>
      <vertAlign val="subscript"/>
      <sz val="11"/>
      <name val="Calibri"/>
      <family val="2"/>
      <scheme val="minor"/>
    </font>
    <font>
      <b/>
      <vertAlign val="subscript"/>
      <sz val="11"/>
      <color rgb="FF002060"/>
      <name val="Calibri"/>
      <family val="2"/>
      <scheme val="minor"/>
    </font>
    <font>
      <b/>
      <vertAlign val="subscript"/>
      <sz val="11"/>
      <color rgb="FF0000CC"/>
      <name val="Calibri"/>
      <family val="2"/>
      <scheme val="minor"/>
    </font>
    <font>
      <b/>
      <vertAlign val="subscript"/>
      <sz val="11"/>
      <color rgb="FF660066"/>
      <name val="Calibri"/>
      <family val="2"/>
      <scheme val="minor"/>
    </font>
    <font>
      <sz val="11"/>
      <color rgb="FF008000"/>
      <name val="Calibri"/>
      <family val="2"/>
      <scheme val="minor"/>
    </font>
    <font>
      <sz val="11"/>
      <name val="Calibri"/>
      <family val="2"/>
      <scheme val="minor"/>
    </font>
    <font>
      <sz val="11"/>
      <color rgb="FF002060"/>
      <name val="Calibri"/>
      <family val="2"/>
      <scheme val="minor"/>
    </font>
    <font>
      <sz val="11"/>
      <color rgb="FF0000CC"/>
      <name val="Calibri"/>
      <family val="2"/>
      <scheme val="minor"/>
    </font>
    <font>
      <sz val="11"/>
      <color rgb="FF660066"/>
      <name val="Calibri"/>
      <family val="2"/>
      <scheme val="minor"/>
    </font>
    <font>
      <sz val="11"/>
      <color theme="0"/>
      <name val="Calibri"/>
      <family val="2"/>
      <scheme val="minor"/>
    </font>
    <font>
      <vertAlign val="superscript"/>
      <sz val="11"/>
      <color rgb="FF7030A0"/>
      <name val="Calibri"/>
      <family val="2"/>
      <scheme val="minor"/>
    </font>
    <font>
      <b/>
      <vertAlign val="superscript"/>
      <sz val="11"/>
      <color rgb="FF7030A0"/>
      <name val="Calibri"/>
      <family val="2"/>
      <scheme val="minor"/>
    </font>
    <font>
      <b/>
      <vertAlign val="superscript"/>
      <sz val="11"/>
      <color rgb="FF7030A0"/>
      <name val="Calibri"/>
      <family val="2"/>
    </font>
    <font>
      <sz val="11"/>
      <color theme="9" tint="-0.249977111117893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04">
    <xf numFmtId="0" fontId="0" fillId="0" borderId="0" xfId="0"/>
    <xf numFmtId="0" fontId="0" fillId="0" borderId="0" xfId="0" applyBorder="1"/>
    <xf numFmtId="0" fontId="2" fillId="0" borderId="0" xfId="0" applyFont="1"/>
    <xf numFmtId="164" fontId="0" fillId="0" borderId="0" xfId="1" applyNumberFormat="1" applyFont="1"/>
    <xf numFmtId="164" fontId="0" fillId="0" borderId="1" xfId="1" applyNumberFormat="1" applyFont="1" applyBorder="1"/>
    <xf numFmtId="164" fontId="0" fillId="0" borderId="0" xfId="1" applyNumberFormat="1" applyFont="1" applyBorder="1"/>
    <xf numFmtId="164" fontId="0" fillId="0" borderId="0" xfId="0" applyNumberFormat="1"/>
    <xf numFmtId="0" fontId="3" fillId="0" borderId="0" xfId="0" applyFont="1"/>
    <xf numFmtId="43" fontId="0" fillId="0" borderId="0" xfId="0" applyNumberFormat="1"/>
    <xf numFmtId="165" fontId="0" fillId="0" borderId="0" xfId="0" applyNumberFormat="1"/>
    <xf numFmtId="2" fontId="0" fillId="0" borderId="0" xfId="0" applyNumberFormat="1"/>
    <xf numFmtId="10" fontId="0" fillId="0" borderId="0" xfId="2" applyNumberFormat="1" applyFont="1"/>
    <xf numFmtId="166" fontId="0" fillId="0" borderId="0" xfId="0" applyNumberFormat="1"/>
    <xf numFmtId="0" fontId="2" fillId="0" borderId="0" xfId="0" applyFont="1" applyAlignment="1"/>
    <xf numFmtId="0" fontId="0" fillId="0" borderId="5" xfId="0" applyBorder="1"/>
    <xf numFmtId="0" fontId="0" fillId="0" borderId="6" xfId="0" applyBorder="1"/>
    <xf numFmtId="0" fontId="2" fillId="0" borderId="0" xfId="0" applyFont="1" applyBorder="1"/>
    <xf numFmtId="0" fontId="2" fillId="0" borderId="6" xfId="0" applyFont="1" applyBorder="1"/>
    <xf numFmtId="164" fontId="0" fillId="0" borderId="6" xfId="1" applyNumberFormat="1" applyFont="1" applyBorder="1"/>
    <xf numFmtId="164" fontId="0" fillId="0" borderId="7" xfId="1" applyNumberFormat="1" applyFont="1" applyBorder="1"/>
    <xf numFmtId="0" fontId="0" fillId="0" borderId="8" xfId="0" applyBorder="1"/>
    <xf numFmtId="0" fontId="0" fillId="0" borderId="1" xfId="0" applyBorder="1"/>
    <xf numFmtId="164" fontId="0" fillId="0" borderId="1" xfId="0" applyNumberFormat="1" applyBorder="1"/>
    <xf numFmtId="164" fontId="0" fillId="0" borderId="7" xfId="0" applyNumberFormat="1" applyBorder="1"/>
    <xf numFmtId="164" fontId="0" fillId="0" borderId="9" xfId="1" applyNumberFormat="1" applyFont="1" applyBorder="1"/>
    <xf numFmtId="0" fontId="0" fillId="0" borderId="0" xfId="0" applyFill="1" applyBorder="1"/>
    <xf numFmtId="165" fontId="0" fillId="0" borderId="0" xfId="2" applyNumberFormat="1" applyFont="1"/>
    <xf numFmtId="0" fontId="0" fillId="0" borderId="0" xfId="0" applyNumberFormat="1"/>
    <xf numFmtId="167" fontId="0" fillId="0" borderId="0" xfId="0" applyNumberFormat="1"/>
    <xf numFmtId="0" fontId="0" fillId="0" borderId="0" xfId="0" applyAlignment="1">
      <alignment wrapText="1"/>
    </xf>
    <xf numFmtId="164" fontId="0" fillId="0" borderId="10" xfId="1" applyNumberFormat="1" applyFont="1" applyBorder="1"/>
    <xf numFmtId="164" fontId="0" fillId="0" borderId="6" xfId="1" quotePrefix="1" applyNumberFormat="1" applyFont="1" applyBorder="1"/>
    <xf numFmtId="165" fontId="0" fillId="0" borderId="0" xfId="2" quotePrefix="1" applyNumberFormat="1" applyFont="1" applyAlignment="1">
      <alignment horizontal="right"/>
    </xf>
    <xf numFmtId="2" fontId="5" fillId="0" borderId="0" xfId="0" applyNumberFormat="1" applyFont="1" applyAlignment="1">
      <alignment horizontal="right" vertical="center"/>
    </xf>
    <xf numFmtId="0" fontId="5" fillId="0" borderId="0" xfId="0" applyFont="1" applyAlignment="1">
      <alignment vertical="center"/>
    </xf>
    <xf numFmtId="1" fontId="0" fillId="0" borderId="0" xfId="0" applyNumberFormat="1"/>
    <xf numFmtId="0" fontId="2" fillId="0" borderId="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Border="1" applyAlignment="1"/>
    <xf numFmtId="0" fontId="2" fillId="0" borderId="6" xfId="0" applyFont="1" applyBorder="1" applyAlignment="1"/>
    <xf numFmtId="0" fontId="0" fillId="0" borderId="0" xfId="0" quotePrefix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2" fillId="0" borderId="0" xfId="0" applyNumberFormat="1" applyFont="1" applyBorder="1" applyAlignment="1">
      <alignment horizontal="center"/>
    </xf>
    <xf numFmtId="0" fontId="6" fillId="0" borderId="8" xfId="0" applyFont="1" applyBorder="1"/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0" fontId="0" fillId="0" borderId="0" xfId="1" applyNumberFormat="1" applyFont="1" applyBorder="1" applyAlignment="1">
      <alignment horizontal="center"/>
    </xf>
    <xf numFmtId="0" fontId="0" fillId="0" borderId="6" xfId="1" applyNumberFormat="1" applyFon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2" fillId="0" borderId="5" xfId="0" applyFont="1" applyBorder="1" applyAlignment="1"/>
    <xf numFmtId="2" fontId="0" fillId="0" borderId="0" xfId="1" applyNumberFormat="1" applyFont="1" applyBorder="1" applyAlignment="1">
      <alignment horizontal="center"/>
    </xf>
    <xf numFmtId="168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167" fontId="0" fillId="0" borderId="0" xfId="0" applyNumberFormat="1" applyAlignment="1">
      <alignment horizontal="center"/>
    </xf>
    <xf numFmtId="167" fontId="0" fillId="0" borderId="6" xfId="1" applyNumberFormat="1" applyFont="1" applyBorder="1" applyAlignment="1">
      <alignment horizontal="center"/>
    </xf>
    <xf numFmtId="168" fontId="0" fillId="0" borderId="6" xfId="0" applyNumberFormat="1" applyBorder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165" fontId="0" fillId="0" borderId="0" xfId="0" quotePrefix="1" applyNumberFormat="1" applyAlignment="1">
      <alignment horizontal="center"/>
    </xf>
    <xf numFmtId="164" fontId="0" fillId="0" borderId="4" xfId="1" applyNumberFormat="1" applyFont="1" applyBorder="1"/>
    <xf numFmtId="10" fontId="0" fillId="0" borderId="0" xfId="0" applyNumberFormat="1"/>
    <xf numFmtId="165" fontId="0" fillId="0" borderId="0" xfId="0" applyNumberFormat="1" applyAlignment="1">
      <alignment horizontal="right"/>
    </xf>
    <xf numFmtId="10" fontId="0" fillId="0" borderId="0" xfId="2" applyNumberFormat="1" applyFont="1" applyAlignment="1">
      <alignment horizontal="center"/>
    </xf>
    <xf numFmtId="0" fontId="0" fillId="0" borderId="0" xfId="0" applyFont="1" applyAlignment="1">
      <alignment horizontal="right"/>
    </xf>
    <xf numFmtId="169" fontId="0" fillId="0" borderId="0" xfId="0" applyNumberFormat="1" applyAlignment="1">
      <alignment horizontal="center"/>
    </xf>
    <xf numFmtId="0" fontId="2" fillId="0" borderId="0" xfId="0" applyFont="1" applyAlignment="1">
      <alignment horizontal="center" wrapText="1"/>
    </xf>
    <xf numFmtId="0" fontId="17" fillId="0" borderId="0" xfId="0" applyFont="1" applyAlignment="1">
      <alignment horizontal="center" wrapText="1"/>
    </xf>
    <xf numFmtId="0" fontId="18" fillId="0" borderId="0" xfId="0" applyFont="1" applyAlignment="1">
      <alignment horizontal="center" wrapText="1"/>
    </xf>
    <xf numFmtId="0" fontId="0" fillId="0" borderId="0" xfId="0" applyAlignment="1">
      <alignment horizontal="center" vertical="top"/>
    </xf>
    <xf numFmtId="167" fontId="0" fillId="0" borderId="0" xfId="0" applyNumberFormat="1" applyAlignment="1">
      <alignment horizontal="center" vertical="top"/>
    </xf>
    <xf numFmtId="0" fontId="19" fillId="0" borderId="0" xfId="0" applyFont="1" applyAlignment="1">
      <alignment horizontal="center"/>
    </xf>
    <xf numFmtId="10" fontId="0" fillId="0" borderId="0" xfId="2" applyNumberFormat="1" applyFont="1" applyAlignment="1">
      <alignment horizontal="center" wrapText="1"/>
    </xf>
    <xf numFmtId="2" fontId="19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 vertical="top"/>
    </xf>
    <xf numFmtId="2" fontId="19" fillId="0" borderId="0" xfId="0" applyNumberFormat="1" applyFont="1" applyBorder="1" applyAlignment="1">
      <alignment horizontal="center"/>
    </xf>
    <xf numFmtId="0" fontId="5" fillId="0" borderId="0" xfId="0" applyFont="1" applyAlignment="1">
      <alignment horizontal="center" wrapText="1"/>
    </xf>
    <xf numFmtId="0" fontId="21" fillId="0" borderId="0" xfId="0" applyFont="1" applyAlignment="1">
      <alignment horizontal="center" wrapText="1"/>
    </xf>
    <xf numFmtId="0" fontId="22" fillId="0" borderId="0" xfId="0" applyFont="1" applyAlignment="1">
      <alignment horizontal="center" wrapText="1"/>
    </xf>
    <xf numFmtId="0" fontId="16" fillId="0" borderId="0" xfId="0" applyFont="1" applyAlignment="1">
      <alignment horizontal="center" wrapText="1"/>
    </xf>
    <xf numFmtId="0" fontId="24" fillId="0" borderId="0" xfId="0" applyFont="1" applyAlignment="1">
      <alignment horizontal="center" wrapText="1"/>
    </xf>
    <xf numFmtId="0" fontId="25" fillId="0" borderId="0" xfId="0" applyFont="1" applyAlignment="1">
      <alignment horizontal="center" wrapText="1"/>
    </xf>
    <xf numFmtId="0" fontId="26" fillId="0" borderId="0" xfId="0" applyFont="1" applyAlignment="1">
      <alignment horizontal="center" wrapText="1"/>
    </xf>
    <xf numFmtId="0" fontId="15" fillId="0" borderId="0" xfId="0" applyFont="1"/>
    <xf numFmtId="2" fontId="15" fillId="0" borderId="0" xfId="0" applyNumberFormat="1" applyFont="1"/>
    <xf numFmtId="43" fontId="0" fillId="0" borderId="0" xfId="1" applyFont="1"/>
    <xf numFmtId="164" fontId="0" fillId="0" borderId="0" xfId="1" applyNumberFormat="1" applyFont="1" applyFill="1" applyBorder="1"/>
    <xf numFmtId="0" fontId="2" fillId="0" borderId="0" xfId="1" applyNumberFormat="1" applyFont="1" applyBorder="1"/>
    <xf numFmtId="0" fontId="2" fillId="0" borderId="6" xfId="1" applyNumberFormat="1" applyFont="1" applyBorder="1"/>
    <xf numFmtId="1" fontId="2" fillId="0" borderId="0" xfId="0" applyNumberFormat="1" applyFont="1"/>
    <xf numFmtId="8" fontId="0" fillId="0" borderId="0" xfId="0" applyNumberFormat="1"/>
    <xf numFmtId="171" fontId="0" fillId="0" borderId="0" xfId="1" applyNumberFormat="1" applyFont="1"/>
    <xf numFmtId="171" fontId="0" fillId="0" borderId="0" xfId="0" applyNumberFormat="1"/>
    <xf numFmtId="10" fontId="34" fillId="0" borderId="0" xfId="2" applyNumberFormat="1" applyFont="1" applyAlignment="1">
      <alignment horizontal="center"/>
    </xf>
    <xf numFmtId="10" fontId="34" fillId="0" borderId="0" xfId="2" applyNumberFormat="1" applyFont="1" applyBorder="1" applyAlignment="1">
      <alignment horizontal="center"/>
    </xf>
    <xf numFmtId="170" fontId="34" fillId="0" borderId="0" xfId="0" applyNumberFormat="1" applyFont="1" applyBorder="1" applyAlignment="1">
      <alignment horizontal="center"/>
    </xf>
    <xf numFmtId="2" fontId="0" fillId="0" borderId="0" xfId="0" applyNumberFormat="1" applyAlignment="1">
      <alignment horizontal="center" vertical="top"/>
    </xf>
    <xf numFmtId="2" fontId="0" fillId="0" borderId="0" xfId="0" applyNumberFormat="1" applyAlignment="1">
      <alignment horizontal="center" wrapText="1"/>
    </xf>
    <xf numFmtId="2" fontId="33" fillId="0" borderId="0" xfId="0" applyNumberFormat="1" applyFont="1"/>
    <xf numFmtId="2" fontId="34" fillId="0" borderId="0" xfId="0" applyNumberFormat="1" applyFont="1"/>
    <xf numFmtId="2" fontId="19" fillId="0" borderId="0" xfId="0" applyNumberFormat="1" applyFont="1"/>
    <xf numFmtId="2" fontId="35" fillId="0" borderId="0" xfId="0" applyNumberFormat="1" applyFont="1" applyAlignment="1">
      <alignment horizontal="center"/>
    </xf>
    <xf numFmtId="2" fontId="35" fillId="0" borderId="0" xfId="0" applyNumberFormat="1" applyFont="1"/>
    <xf numFmtId="2" fontId="36" fillId="0" borderId="0" xfId="0" applyNumberFormat="1" applyFont="1"/>
    <xf numFmtId="2" fontId="37" fillId="0" borderId="0" xfId="0" applyNumberFormat="1" applyFont="1"/>
    <xf numFmtId="2" fontId="5" fillId="0" borderId="0" xfId="0" applyNumberFormat="1" applyFont="1"/>
    <xf numFmtId="2" fontId="33" fillId="0" borderId="0" xfId="0" applyNumberFormat="1" applyFont="1" applyAlignment="1">
      <alignment horizontal="right"/>
    </xf>
    <xf numFmtId="2" fontId="21" fillId="0" borderId="0" xfId="0" applyNumberFormat="1" applyFont="1" applyAlignment="1">
      <alignment horizontal="right"/>
    </xf>
    <xf numFmtId="2" fontId="34" fillId="0" borderId="0" xfId="0" applyNumberFormat="1" applyFont="1" applyAlignment="1">
      <alignment horizontal="right"/>
    </xf>
    <xf numFmtId="2" fontId="22" fillId="0" borderId="0" xfId="0" applyNumberFormat="1" applyFont="1" applyAlignment="1">
      <alignment horizontal="right"/>
    </xf>
    <xf numFmtId="2" fontId="19" fillId="0" borderId="0" xfId="0" applyNumberFormat="1" applyFont="1" applyAlignment="1">
      <alignment horizontal="right"/>
    </xf>
    <xf numFmtId="2" fontId="16" fillId="0" borderId="0" xfId="0" applyNumberFormat="1" applyFont="1" applyAlignment="1">
      <alignment horizontal="right"/>
    </xf>
    <xf numFmtId="2" fontId="35" fillId="0" borderId="0" xfId="0" applyNumberFormat="1" applyFont="1" applyAlignment="1">
      <alignment horizontal="right"/>
    </xf>
    <xf numFmtId="2" fontId="24" fillId="0" borderId="0" xfId="0" applyNumberFormat="1" applyFont="1" applyAlignment="1">
      <alignment horizontal="right"/>
    </xf>
    <xf numFmtId="2" fontId="25" fillId="0" borderId="0" xfId="0" applyNumberFormat="1" applyFont="1" applyAlignment="1">
      <alignment horizontal="right"/>
    </xf>
    <xf numFmtId="2" fontId="26" fillId="0" borderId="0" xfId="0" applyNumberFormat="1" applyFont="1" applyAlignment="1">
      <alignment horizontal="right"/>
    </xf>
    <xf numFmtId="2" fontId="36" fillId="0" borderId="0" xfId="0" applyNumberFormat="1" applyFont="1" applyBorder="1" applyAlignment="1">
      <alignment horizontal="center"/>
    </xf>
    <xf numFmtId="2" fontId="37" fillId="0" borderId="0" xfId="0" applyNumberFormat="1" applyFont="1" applyBorder="1" applyAlignment="1">
      <alignment horizontal="center"/>
    </xf>
    <xf numFmtId="10" fontId="34" fillId="0" borderId="0" xfId="2" applyNumberFormat="1" applyFont="1" applyFill="1" applyBorder="1" applyAlignment="1">
      <alignment horizontal="center"/>
    </xf>
    <xf numFmtId="0" fontId="19" fillId="0" borderId="0" xfId="0" applyFont="1" applyAlignment="1">
      <alignment vertical="top" wrapText="1"/>
    </xf>
    <xf numFmtId="10" fontId="0" fillId="0" borderId="0" xfId="2" applyNumberFormat="1" applyFont="1" applyAlignment="1">
      <alignment horizontal="right"/>
    </xf>
    <xf numFmtId="10" fontId="0" fillId="0" borderId="0" xfId="2" applyNumberFormat="1" applyFont="1" applyAlignment="1">
      <alignment horizontal="center" vertical="top"/>
    </xf>
    <xf numFmtId="172" fontId="0" fillId="0" borderId="0" xfId="2" applyNumberFormat="1" applyFont="1"/>
    <xf numFmtId="0" fontId="0" fillId="0" borderId="0" xfId="0" applyAlignment="1">
      <alignment horizontal="left"/>
    </xf>
    <xf numFmtId="0" fontId="16" fillId="0" borderId="0" xfId="0" applyFont="1" applyAlignment="1">
      <alignment horizontal="center"/>
    </xf>
    <xf numFmtId="0" fontId="19" fillId="0" borderId="0" xfId="0" applyFont="1" applyAlignment="1">
      <alignment horizontal="left" vertical="top" wrapText="1"/>
    </xf>
    <xf numFmtId="0" fontId="19" fillId="0" borderId="0" xfId="0" applyFont="1" applyAlignment="1">
      <alignment horizontal="left"/>
    </xf>
    <xf numFmtId="0" fontId="0" fillId="0" borderId="0" xfId="0" applyAlignment="1">
      <alignment horizontal="right"/>
    </xf>
    <xf numFmtId="2" fontId="0" fillId="0" borderId="0" xfId="0" applyNumberFormat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 applyAlignment="1">
      <alignment horizontal="center"/>
    </xf>
    <xf numFmtId="2" fontId="0" fillId="0" borderId="0" xfId="0" applyNumberFormat="1" applyAlignment="1">
      <alignment horizontal="right"/>
    </xf>
    <xf numFmtId="2" fontId="26" fillId="0" borderId="0" xfId="0" applyNumberFormat="1" applyFont="1" applyAlignment="1">
      <alignment horizontal="center" wrapText="1"/>
    </xf>
    <xf numFmtId="0" fontId="19" fillId="0" borderId="0" xfId="0" applyFont="1" applyAlignment="1">
      <alignment horizontal="left"/>
    </xf>
    <xf numFmtId="165" fontId="2" fillId="0" borderId="0" xfId="0" applyNumberFormat="1" applyFont="1" applyAlignment="1">
      <alignment horizontal="right"/>
    </xf>
    <xf numFmtId="0" fontId="19" fillId="0" borderId="0" xfId="0" applyFont="1" applyAlignment="1">
      <alignment horizontal="right"/>
    </xf>
    <xf numFmtId="2" fontId="25" fillId="0" borderId="0" xfId="0" applyNumberFormat="1" applyFont="1" applyAlignment="1">
      <alignment horizontal="center" wrapText="1"/>
    </xf>
    <xf numFmtId="2" fontId="26" fillId="0" borderId="0" xfId="0" applyNumberFormat="1" applyFont="1" applyAlignment="1">
      <alignment horizontal="center" wrapText="1"/>
    </xf>
    <xf numFmtId="0" fontId="5" fillId="0" borderId="0" xfId="0" applyFont="1" applyAlignment="1">
      <alignment horizontal="center"/>
    </xf>
    <xf numFmtId="2" fontId="0" fillId="0" borderId="0" xfId="0" applyNumberFormat="1" applyAlignment="1">
      <alignment horizontal="right"/>
    </xf>
    <xf numFmtId="0" fontId="19" fillId="0" borderId="0" xfId="0" applyFont="1" applyAlignment="1">
      <alignment horizontal="left" vertical="top" wrapText="1"/>
    </xf>
    <xf numFmtId="0" fontId="0" fillId="0" borderId="0" xfId="0" applyAlignment="1">
      <alignment horizontal="left"/>
    </xf>
    <xf numFmtId="0" fontId="19" fillId="0" borderId="0" xfId="0" applyFont="1" applyAlignment="1">
      <alignment horizontal="left"/>
    </xf>
    <xf numFmtId="0" fontId="16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 applyAlignment="1">
      <alignment horizontal="center"/>
    </xf>
    <xf numFmtId="0" fontId="0" fillId="0" borderId="14" xfId="0" applyBorder="1"/>
    <xf numFmtId="164" fontId="0" fillId="0" borderId="6" xfId="1" applyNumberFormat="1" applyFont="1" applyFill="1" applyBorder="1"/>
    <xf numFmtId="43" fontId="0" fillId="0" borderId="0" xfId="1" applyFont="1" applyAlignment="1">
      <alignment horizontal="center"/>
    </xf>
    <xf numFmtId="0" fontId="16" fillId="0" borderId="0" xfId="0" applyFont="1" applyAlignment="1"/>
    <xf numFmtId="43" fontId="15" fillId="0" borderId="0" xfId="1" applyFont="1"/>
    <xf numFmtId="43" fontId="15" fillId="0" borderId="0" xfId="1" applyFont="1" applyAlignment="1">
      <alignment horizontal="center"/>
    </xf>
    <xf numFmtId="43" fontId="33" fillId="0" borderId="0" xfId="1" applyFont="1"/>
    <xf numFmtId="43" fontId="34" fillId="0" borderId="0" xfId="1" applyFont="1"/>
    <xf numFmtId="43" fontId="19" fillId="0" borderId="0" xfId="1" applyFont="1" applyAlignment="1">
      <alignment horizontal="center"/>
    </xf>
    <xf numFmtId="43" fontId="19" fillId="0" borderId="0" xfId="1" applyFont="1"/>
    <xf numFmtId="43" fontId="35" fillId="0" borderId="0" xfId="1" applyFont="1" applyAlignment="1">
      <alignment horizontal="center"/>
    </xf>
    <xf numFmtId="43" fontId="35" fillId="0" borderId="0" xfId="1" applyFont="1"/>
    <xf numFmtId="43" fontId="36" fillId="0" borderId="0" xfId="1" applyFont="1" applyAlignment="1">
      <alignment horizontal="center"/>
    </xf>
    <xf numFmtId="43" fontId="36" fillId="0" borderId="0" xfId="1" applyFont="1"/>
    <xf numFmtId="43" fontId="37" fillId="0" borderId="0" xfId="1" applyFont="1" applyAlignment="1">
      <alignment horizontal="center"/>
    </xf>
    <xf numFmtId="43" fontId="37" fillId="0" borderId="0" xfId="1" applyFont="1"/>
    <xf numFmtId="43" fontId="15" fillId="0" borderId="0" xfId="1" applyFont="1" applyAlignment="1">
      <alignment horizontal="right"/>
    </xf>
    <xf numFmtId="43" fontId="33" fillId="0" borderId="0" xfId="1" applyFont="1" applyAlignment="1">
      <alignment horizontal="right"/>
    </xf>
    <xf numFmtId="43" fontId="34" fillId="0" borderId="0" xfId="1" applyFont="1" applyAlignment="1">
      <alignment horizontal="right"/>
    </xf>
    <xf numFmtId="43" fontId="19" fillId="0" borderId="0" xfId="1" applyFont="1" applyAlignment="1">
      <alignment horizontal="right"/>
    </xf>
    <xf numFmtId="43" fontId="35" fillId="0" borderId="0" xfId="1" applyFont="1" applyAlignment="1">
      <alignment horizontal="right"/>
    </xf>
    <xf numFmtId="43" fontId="36" fillId="0" borderId="0" xfId="1" applyFont="1" applyAlignment="1">
      <alignment horizontal="right"/>
    </xf>
    <xf numFmtId="43" fontId="37" fillId="0" borderId="0" xfId="1" applyFont="1" applyAlignment="1">
      <alignment horizontal="right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/>
    </xf>
    <xf numFmtId="43" fontId="0" fillId="0" borderId="0" xfId="0" applyNumberFormat="1" applyAlignment="1">
      <alignment horizontal="right"/>
    </xf>
    <xf numFmtId="43" fontId="0" fillId="0" borderId="0" xfId="1" applyFont="1" applyAlignment="1">
      <alignment horizontal="right"/>
    </xf>
    <xf numFmtId="0" fontId="34" fillId="0" borderId="0" xfId="0" applyFont="1" applyBorder="1"/>
    <xf numFmtId="0" fontId="0" fillId="0" borderId="0" xfId="0" applyAlignment="1"/>
    <xf numFmtId="165" fontId="15" fillId="0" borderId="0" xfId="0" applyNumberFormat="1" applyFont="1" applyAlignment="1">
      <alignment horizontal="right"/>
    </xf>
    <xf numFmtId="10" fontId="15" fillId="0" borderId="0" xfId="2" applyNumberFormat="1" applyFont="1" applyAlignment="1">
      <alignment horizontal="center"/>
    </xf>
    <xf numFmtId="0" fontId="15" fillId="0" borderId="0" xfId="0" applyFont="1" applyAlignment="1">
      <alignment horizontal="right"/>
    </xf>
    <xf numFmtId="10" fontId="15" fillId="0" borderId="0" xfId="2" applyNumberFormat="1" applyFont="1" applyBorder="1" applyAlignment="1">
      <alignment horizontal="center"/>
    </xf>
    <xf numFmtId="10" fontId="15" fillId="0" borderId="0" xfId="2" applyNumberFormat="1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19" fillId="0" borderId="0" xfId="0" applyFont="1" applyAlignment="1">
      <alignment horizontal="left" vertical="top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right"/>
    </xf>
    <xf numFmtId="2" fontId="0" fillId="0" borderId="0" xfId="0" applyNumberFormat="1" applyAlignment="1">
      <alignment horizontal="right"/>
    </xf>
    <xf numFmtId="0" fontId="0" fillId="0" borderId="0" xfId="0" applyAlignment="1">
      <alignment horizontal="left"/>
    </xf>
    <xf numFmtId="0" fontId="19" fillId="0" borderId="0" xfId="0" applyFont="1" applyAlignment="1">
      <alignment horizontal="left"/>
    </xf>
    <xf numFmtId="0" fontId="22" fillId="0" borderId="0" xfId="0" applyFont="1" applyAlignment="1">
      <alignment horizontal="center"/>
    </xf>
    <xf numFmtId="173" fontId="0" fillId="0" borderId="0" xfId="0" applyNumberFormat="1"/>
    <xf numFmtId="2" fontId="24" fillId="0" borderId="0" xfId="0" applyNumberFormat="1" applyFont="1" applyAlignment="1">
      <alignment horizontal="center" wrapText="1"/>
    </xf>
    <xf numFmtId="0" fontId="36" fillId="0" borderId="0" xfId="0" applyFont="1" applyAlignment="1">
      <alignment horizontal="center"/>
    </xf>
    <xf numFmtId="10" fontId="36" fillId="0" borderId="0" xfId="2" applyNumberFormat="1" applyFont="1" applyAlignment="1">
      <alignment horizontal="center"/>
    </xf>
    <xf numFmtId="10" fontId="19" fillId="0" borderId="0" xfId="2" applyNumberFormat="1" applyFont="1" applyAlignment="1">
      <alignment horizontal="center"/>
    </xf>
    <xf numFmtId="0" fontId="0" fillId="0" borderId="0" xfId="0" applyFont="1"/>
    <xf numFmtId="164" fontId="0" fillId="0" borderId="1" xfId="1" applyNumberFormat="1" applyFont="1" applyFill="1" applyBorder="1"/>
    <xf numFmtId="43" fontId="0" fillId="0" borderId="0" xfId="1" applyFont="1" applyBorder="1"/>
    <xf numFmtId="43" fontId="0" fillId="0" borderId="1" xfId="1" applyFont="1" applyBorder="1"/>
    <xf numFmtId="10" fontId="0" fillId="0" borderId="1" xfId="2" applyNumberFormat="1" applyFont="1" applyBorder="1"/>
    <xf numFmtId="10" fontId="0" fillId="0" borderId="0" xfId="2" applyNumberFormat="1" applyFont="1" applyBorder="1"/>
    <xf numFmtId="0" fontId="2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10" fontId="15" fillId="0" borderId="0" xfId="0" applyNumberFormat="1" applyFont="1" applyBorder="1" applyAlignment="1">
      <alignment horizontal="center"/>
    </xf>
    <xf numFmtId="165" fontId="15" fillId="0" borderId="0" xfId="0" applyNumberFormat="1" applyFont="1" applyBorder="1" applyAlignment="1">
      <alignment horizontal="center"/>
    </xf>
    <xf numFmtId="2" fontId="0" fillId="0" borderId="0" xfId="1" applyNumberFormat="1" applyFont="1" applyBorder="1"/>
    <xf numFmtId="1" fontId="0" fillId="0" borderId="0" xfId="0" applyNumberFormat="1" applyBorder="1"/>
    <xf numFmtId="1" fontId="0" fillId="0" borderId="6" xfId="0" applyNumberFormat="1" applyBorder="1"/>
    <xf numFmtId="1" fontId="0" fillId="0" borderId="0" xfId="1" applyNumberFormat="1" applyFont="1" applyBorder="1"/>
    <xf numFmtId="1" fontId="0" fillId="0" borderId="6" xfId="1" applyNumberFormat="1" applyFont="1" applyBorder="1"/>
    <xf numFmtId="1" fontId="0" fillId="0" borderId="0" xfId="0" applyNumberFormat="1" applyFill="1" applyBorder="1"/>
    <xf numFmtId="1" fontId="0" fillId="0" borderId="6" xfId="0" applyNumberFormat="1" applyFill="1" applyBorder="1"/>
    <xf numFmtId="1" fontId="0" fillId="0" borderId="1" xfId="0" applyNumberFormat="1" applyFill="1" applyBorder="1"/>
    <xf numFmtId="1" fontId="0" fillId="0" borderId="7" xfId="0" applyNumberFormat="1" applyFill="1" applyBorder="1"/>
    <xf numFmtId="171" fontId="0" fillId="0" borderId="6" xfId="0" applyNumberFormat="1" applyBorder="1" applyAlignment="1">
      <alignment horizontal="center"/>
    </xf>
    <xf numFmtId="43" fontId="0" fillId="0" borderId="6" xfId="1" applyNumberFormat="1" applyFont="1" applyBorder="1" applyAlignment="1">
      <alignment horizontal="center"/>
    </xf>
    <xf numFmtId="171" fontId="0" fillId="0" borderId="0" xfId="0" applyNumberFormat="1" applyBorder="1" applyAlignment="1">
      <alignment horizontal="center"/>
    </xf>
    <xf numFmtId="0" fontId="0" fillId="0" borderId="0" xfId="0" applyNumberFormat="1" applyFont="1" applyBorder="1" applyAlignment="1">
      <alignment horizontal="center"/>
    </xf>
    <xf numFmtId="0" fontId="0" fillId="0" borderId="0" xfId="0" applyFont="1" applyBorder="1"/>
    <xf numFmtId="2" fontId="0" fillId="0" borderId="0" xfId="0" applyNumberFormat="1" applyFont="1" applyBorder="1" applyAlignment="1">
      <alignment horizontal="center"/>
    </xf>
    <xf numFmtId="2" fontId="0" fillId="0" borderId="0" xfId="1" applyNumberFormat="1" applyFont="1"/>
    <xf numFmtId="2" fontId="0" fillId="0" borderId="0" xfId="1" applyNumberFormat="1" applyFont="1" applyAlignment="1">
      <alignment horizontal="center"/>
    </xf>
    <xf numFmtId="2" fontId="0" fillId="0" borderId="6" xfId="1" applyNumberFormat="1" applyFont="1" applyBorder="1" applyAlignment="1">
      <alignment horizontal="center"/>
    </xf>
    <xf numFmtId="4" fontId="0" fillId="0" borderId="0" xfId="1" applyNumberFormat="1" applyFont="1" applyBorder="1" applyAlignment="1">
      <alignment horizontal="center"/>
    </xf>
    <xf numFmtId="4" fontId="0" fillId="0" borderId="0" xfId="1" applyNumberFormat="1" applyFont="1" applyBorder="1"/>
    <xf numFmtId="4" fontId="0" fillId="0" borderId="0" xfId="1" applyNumberFormat="1" applyFont="1"/>
    <xf numFmtId="4" fontId="0" fillId="0" borderId="0" xfId="1" applyNumberFormat="1" applyFont="1" applyAlignment="1">
      <alignment horizontal="center"/>
    </xf>
    <xf numFmtId="4" fontId="0" fillId="0" borderId="6" xfId="1" applyNumberFormat="1" applyFont="1" applyBorder="1" applyAlignment="1">
      <alignment horizontal="center"/>
    </xf>
    <xf numFmtId="10" fontId="0" fillId="0" borderId="1" xfId="0" applyNumberFormat="1" applyBorder="1"/>
    <xf numFmtId="10" fontId="0" fillId="0" borderId="0" xfId="0" applyNumberFormat="1" applyFill="1" applyBorder="1"/>
    <xf numFmtId="10" fontId="0" fillId="0" borderId="0" xfId="2" applyNumberFormat="1" applyFont="1" applyFill="1"/>
    <xf numFmtId="165" fontId="0" fillId="0" borderId="0" xfId="0" applyNumberFormat="1" applyFill="1"/>
    <xf numFmtId="0" fontId="34" fillId="0" borderId="0" xfId="0" applyFont="1"/>
    <xf numFmtId="0" fontId="42" fillId="0" borderId="0" xfId="0" applyFont="1"/>
    <xf numFmtId="0" fontId="19" fillId="0" borderId="0" xfId="0" applyFont="1"/>
    <xf numFmtId="43" fontId="42" fillId="0" borderId="0" xfId="1" applyFont="1"/>
    <xf numFmtId="10" fontId="37" fillId="0" borderId="0" xfId="2" applyNumberFormat="1" applyFont="1"/>
    <xf numFmtId="10" fontId="36" fillId="0" borderId="0" xfId="2" applyNumberFormat="1" applyFont="1"/>
    <xf numFmtId="9" fontId="22" fillId="0" borderId="0" xfId="2" applyFont="1" applyAlignment="1">
      <alignment horizontal="center"/>
    </xf>
    <xf numFmtId="0" fontId="22" fillId="0" borderId="0" xfId="0" applyFont="1" applyAlignment="1">
      <alignment horizontal="right"/>
    </xf>
    <xf numFmtId="43" fontId="22" fillId="0" borderId="0" xfId="1" applyFont="1" applyAlignment="1">
      <alignment horizontal="center"/>
    </xf>
    <xf numFmtId="43" fontId="42" fillId="0" borderId="0" xfId="0" applyNumberFormat="1" applyFont="1"/>
    <xf numFmtId="0" fontId="5" fillId="0" borderId="0" xfId="0" applyFont="1"/>
    <xf numFmtId="43" fontId="15" fillId="0" borderId="0" xfId="0" applyNumberFormat="1" applyFont="1"/>
    <xf numFmtId="10" fontId="15" fillId="0" borderId="0" xfId="0" applyNumberFormat="1" applyFont="1"/>
    <xf numFmtId="10" fontId="15" fillId="0" borderId="0" xfId="2" applyNumberFormat="1" applyFont="1"/>
    <xf numFmtId="0" fontId="25" fillId="0" borderId="0" xfId="0" applyFont="1"/>
    <xf numFmtId="43" fontId="36" fillId="0" borderId="0" xfId="0" applyNumberFormat="1" applyFont="1"/>
    <xf numFmtId="10" fontId="36" fillId="0" borderId="0" xfId="0" applyNumberFormat="1" applyFont="1"/>
    <xf numFmtId="0" fontId="43" fillId="0" borderId="0" xfId="0" applyFont="1"/>
    <xf numFmtId="10" fontId="42" fillId="0" borderId="0" xfId="0" applyNumberFormat="1" applyFont="1"/>
    <xf numFmtId="10" fontId="42" fillId="0" borderId="0" xfId="2" applyNumberFormat="1" applyFont="1"/>
    <xf numFmtId="0" fontId="16" fillId="0" borderId="0" xfId="0" applyFont="1"/>
    <xf numFmtId="0" fontId="24" fillId="0" borderId="0" xfId="0" applyFont="1"/>
    <xf numFmtId="43" fontId="35" fillId="0" borderId="0" xfId="0" applyNumberFormat="1" applyFont="1"/>
    <xf numFmtId="10" fontId="35" fillId="0" borderId="0" xfId="0" applyNumberFormat="1" applyFont="1"/>
    <xf numFmtId="10" fontId="35" fillId="0" borderId="0" xfId="2" applyNumberFormat="1" applyFont="1"/>
    <xf numFmtId="0" fontId="26" fillId="0" borderId="0" xfId="0" applyFont="1"/>
    <xf numFmtId="43" fontId="37" fillId="0" borderId="0" xfId="0" applyNumberFormat="1" applyFont="1"/>
    <xf numFmtId="10" fontId="37" fillId="0" borderId="0" xfId="0" applyNumberFormat="1" applyFont="1"/>
    <xf numFmtId="167" fontId="16" fillId="0" borderId="0" xfId="0" applyNumberFormat="1" applyFont="1" applyBorder="1" applyAlignment="1"/>
    <xf numFmtId="43" fontId="19" fillId="0" borderId="0" xfId="0" applyNumberFormat="1" applyFont="1"/>
    <xf numFmtId="10" fontId="19" fillId="0" borderId="0" xfId="0" applyNumberFormat="1" applyFont="1"/>
    <xf numFmtId="43" fontId="2" fillId="0" borderId="0" xfId="1" applyFont="1"/>
    <xf numFmtId="0" fontId="0" fillId="0" borderId="0" xfId="0" applyAlignment="1">
      <alignment horizontal="right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9" fontId="2" fillId="0" borderId="0" xfId="2" applyFont="1" applyAlignment="1">
      <alignment horizontal="center"/>
    </xf>
    <xf numFmtId="0" fontId="19" fillId="0" borderId="0" xfId="0" applyFont="1" applyAlignment="1">
      <alignment horizontal="left"/>
    </xf>
    <xf numFmtId="0" fontId="16" fillId="0" borderId="0" xfId="0" applyFont="1" applyAlignment="1">
      <alignment horizontal="center"/>
    </xf>
    <xf numFmtId="0" fontId="19" fillId="0" borderId="0" xfId="0" applyFont="1" applyAlignment="1">
      <alignment horizontal="left" vertical="top" wrapText="1"/>
    </xf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>
      <alignment horizontal="right" wrapText="1"/>
    </xf>
    <xf numFmtId="0" fontId="0" fillId="0" borderId="0" xfId="0" applyAlignment="1">
      <alignment horizontal="left"/>
    </xf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167" fontId="16" fillId="0" borderId="0" xfId="0" applyNumberFormat="1" applyFont="1" applyBorder="1" applyAlignment="1">
      <alignment horizontal="center"/>
    </xf>
    <xf numFmtId="0" fontId="24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2" fontId="0" fillId="0" borderId="0" xfId="0" applyNumberFormat="1" applyAlignment="1">
      <alignment horizontal="right"/>
    </xf>
    <xf numFmtId="10" fontId="34" fillId="0" borderId="0" xfId="2" applyNumberFormat="1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660066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arm%20Hill%20Fin%20Stmt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 Stmt"/>
      <sheetName val="Mkt Val without BOP"/>
      <sheetName val="Mkt Val with BOP"/>
      <sheetName val="Tax Schedule"/>
      <sheetName val="Fin Stmt - Val Only"/>
    </sheetNames>
    <sheetDataSet>
      <sheetData sheetId="0">
        <row r="6">
          <cell r="D6">
            <v>2013</v>
          </cell>
        </row>
        <row r="38">
          <cell r="N38" t="str">
            <v>Taxes Paid/Taxable Income</v>
          </cell>
        </row>
      </sheetData>
      <sheetData sheetId="1">
        <row r="22">
          <cell r="H22">
            <v>13.458679726615905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C86"/>
  <sheetViews>
    <sheetView topLeftCell="A37" zoomScale="80" zoomScaleNormal="80" workbookViewId="0">
      <selection activeCell="Q67" sqref="Q67"/>
    </sheetView>
  </sheetViews>
  <sheetFormatPr defaultRowHeight="15" x14ac:dyDescent="0.25"/>
  <cols>
    <col min="1" max="1" width="1.7109375" customWidth="1"/>
    <col min="2" max="2" width="2.7109375" customWidth="1"/>
    <col min="3" max="3" width="20.7109375" customWidth="1"/>
    <col min="4" max="5" width="12.7109375" customWidth="1"/>
    <col min="6" max="7" width="2.7109375" customWidth="1"/>
    <col min="8" max="11" width="12.7109375" customWidth="1"/>
    <col min="12" max="12" width="13.85546875" bestFit="1" customWidth="1"/>
    <col min="13" max="13" width="3.7109375" customWidth="1"/>
    <col min="14" max="14" width="2.7109375" customWidth="1"/>
    <col min="15" max="15" width="30.7109375" customWidth="1"/>
    <col min="16" max="16" width="13.7109375" customWidth="1"/>
    <col min="17" max="17" width="13.28515625" bestFit="1" customWidth="1"/>
    <col min="21" max="21" width="3.7109375" customWidth="1"/>
    <col min="22" max="22" width="35.7109375" customWidth="1"/>
    <col min="24" max="26" width="9.140625" customWidth="1"/>
  </cols>
  <sheetData>
    <row r="2" spans="2:18" x14ac:dyDescent="0.25">
      <c r="B2" s="279" t="s">
        <v>57</v>
      </c>
      <c r="C2" s="280"/>
      <c r="D2" s="280"/>
      <c r="E2" s="280"/>
      <c r="F2" s="280"/>
      <c r="G2" s="280"/>
      <c r="H2" s="280"/>
      <c r="I2" s="280"/>
      <c r="J2" s="280"/>
      <c r="K2" s="280"/>
      <c r="L2" s="281"/>
      <c r="N2" s="279" t="s">
        <v>57</v>
      </c>
      <c r="O2" s="280"/>
      <c r="P2" s="280"/>
      <c r="Q2" s="281"/>
      <c r="R2" s="13"/>
    </row>
    <row r="3" spans="2:18" x14ac:dyDescent="0.25">
      <c r="B3" s="282" t="s">
        <v>77</v>
      </c>
      <c r="C3" s="283"/>
      <c r="D3" s="283"/>
      <c r="E3" s="283"/>
      <c r="F3" s="283"/>
      <c r="G3" s="283"/>
      <c r="H3" s="283"/>
      <c r="I3" s="283"/>
      <c r="J3" s="283"/>
      <c r="K3" s="283"/>
      <c r="L3" s="284"/>
      <c r="N3" s="282" t="s">
        <v>78</v>
      </c>
      <c r="O3" s="283"/>
      <c r="P3" s="283"/>
      <c r="Q3" s="284"/>
      <c r="R3" s="13"/>
    </row>
    <row r="4" spans="2:18" x14ac:dyDescent="0.25">
      <c r="B4" s="282" t="s">
        <v>56</v>
      </c>
      <c r="C4" s="283"/>
      <c r="D4" s="283"/>
      <c r="E4" s="283"/>
      <c r="F4" s="283"/>
      <c r="G4" s="283"/>
      <c r="H4" s="283"/>
      <c r="I4" s="283"/>
      <c r="J4" s="283"/>
      <c r="K4" s="283"/>
      <c r="L4" s="284"/>
      <c r="N4" s="282" t="s">
        <v>55</v>
      </c>
      <c r="O4" s="283"/>
      <c r="P4" s="283"/>
      <c r="Q4" s="284"/>
      <c r="R4" s="13"/>
    </row>
    <row r="5" spans="2:18" x14ac:dyDescent="0.25">
      <c r="B5" s="14"/>
      <c r="C5" s="1"/>
      <c r="D5" s="1"/>
      <c r="E5" s="1"/>
      <c r="F5" s="1"/>
      <c r="G5" s="1"/>
      <c r="H5" s="1"/>
      <c r="I5" s="1"/>
      <c r="J5" s="1"/>
      <c r="K5" s="1"/>
      <c r="L5" s="15"/>
      <c r="N5" s="14"/>
      <c r="O5" s="1"/>
      <c r="P5" s="1"/>
      <c r="Q5" s="15"/>
    </row>
    <row r="6" spans="2:18" x14ac:dyDescent="0.25">
      <c r="B6" s="14"/>
      <c r="C6" s="1"/>
      <c r="D6" s="16">
        <v>2016</v>
      </c>
      <c r="E6" s="16">
        <v>2017</v>
      </c>
      <c r="F6" s="16"/>
      <c r="G6" s="16"/>
      <c r="H6" s="16"/>
      <c r="I6" s="16"/>
      <c r="J6" s="16"/>
      <c r="K6" s="16">
        <f>D6</f>
        <v>2016</v>
      </c>
      <c r="L6" s="17">
        <f>E6</f>
        <v>2017</v>
      </c>
      <c r="N6" s="14"/>
      <c r="O6" s="1"/>
      <c r="P6" s="96">
        <f>D6</f>
        <v>2016</v>
      </c>
      <c r="Q6" s="97">
        <f>L6</f>
        <v>2017</v>
      </c>
    </row>
    <row r="7" spans="2:18" x14ac:dyDescent="0.25">
      <c r="B7" s="14" t="s">
        <v>0</v>
      </c>
      <c r="C7" s="1"/>
      <c r="D7" s="1"/>
      <c r="E7" s="1"/>
      <c r="F7" s="1"/>
      <c r="G7" s="1" t="s">
        <v>108</v>
      </c>
      <c r="H7" s="1"/>
      <c r="I7" s="1"/>
      <c r="J7" s="1"/>
      <c r="K7" s="1"/>
      <c r="L7" s="15"/>
      <c r="N7" s="14" t="s">
        <v>72</v>
      </c>
      <c r="O7" s="1"/>
      <c r="P7" s="5"/>
      <c r="Q7" s="18"/>
    </row>
    <row r="8" spans="2:18" x14ac:dyDescent="0.25">
      <c r="B8" s="14"/>
      <c r="C8" s="1" t="s">
        <v>291</v>
      </c>
      <c r="D8" s="5">
        <v>600</v>
      </c>
      <c r="E8" s="5">
        <v>920</v>
      </c>
      <c r="F8" s="1"/>
      <c r="G8" s="1"/>
      <c r="H8" s="1" t="s">
        <v>216</v>
      </c>
      <c r="I8" s="1"/>
      <c r="J8" s="1"/>
      <c r="K8" s="217">
        <v>360</v>
      </c>
      <c r="L8" s="218">
        <v>410</v>
      </c>
      <c r="N8" s="14"/>
      <c r="O8" s="1" t="s">
        <v>222</v>
      </c>
      <c r="P8" s="5">
        <v>1130</v>
      </c>
      <c r="Q8" s="18">
        <v>2350</v>
      </c>
    </row>
    <row r="9" spans="2:18" x14ac:dyDescent="0.25">
      <c r="B9" s="14"/>
      <c r="C9" s="1" t="s">
        <v>215</v>
      </c>
      <c r="D9" s="5">
        <v>240</v>
      </c>
      <c r="E9" s="5">
        <v>580</v>
      </c>
      <c r="F9" s="1"/>
      <c r="G9" s="1"/>
      <c r="H9" s="1" t="s">
        <v>217</v>
      </c>
      <c r="I9" s="1"/>
      <c r="J9" s="1"/>
      <c r="K9" s="217">
        <v>220</v>
      </c>
      <c r="L9" s="218">
        <v>270</v>
      </c>
      <c r="N9" s="14"/>
      <c r="O9" s="1" t="s">
        <v>223</v>
      </c>
      <c r="P9" s="5">
        <v>4150</v>
      </c>
      <c r="Q9" s="18">
        <v>5750</v>
      </c>
    </row>
    <row r="10" spans="2:18" x14ac:dyDescent="0.25">
      <c r="B10" s="14"/>
      <c r="C10" s="1" t="s">
        <v>1</v>
      </c>
      <c r="D10" s="5">
        <v>1650</v>
      </c>
      <c r="E10" s="5">
        <v>1640</v>
      </c>
      <c r="F10" s="1"/>
      <c r="G10" s="1"/>
      <c r="H10" s="1" t="s">
        <v>6</v>
      </c>
      <c r="I10" s="1"/>
      <c r="J10" s="1"/>
      <c r="K10" s="219">
        <v>1974</v>
      </c>
      <c r="L10" s="220">
        <v>2154</v>
      </c>
      <c r="N10" s="14"/>
      <c r="O10" s="1" t="s">
        <v>224</v>
      </c>
      <c r="P10" s="5">
        <v>10970</v>
      </c>
      <c r="Q10" s="18">
        <v>9590</v>
      </c>
    </row>
    <row r="11" spans="2:18" x14ac:dyDescent="0.25">
      <c r="B11" s="14"/>
      <c r="C11" s="1" t="s">
        <v>2</v>
      </c>
      <c r="D11" s="4">
        <v>3930</v>
      </c>
      <c r="E11" s="4">
        <v>4260</v>
      </c>
      <c r="F11" s="1"/>
      <c r="G11" s="1"/>
      <c r="H11" s="25" t="s">
        <v>279</v>
      </c>
      <c r="I11" s="25"/>
      <c r="J11" s="25"/>
      <c r="K11" s="221">
        <v>325</v>
      </c>
      <c r="L11" s="222">
        <v>338</v>
      </c>
      <c r="N11" s="14"/>
      <c r="O11" s="25" t="s">
        <v>13</v>
      </c>
      <c r="P11" s="5">
        <v>5340</v>
      </c>
      <c r="Q11" s="18">
        <v>6170</v>
      </c>
    </row>
    <row r="12" spans="2:18" x14ac:dyDescent="0.25">
      <c r="B12" s="14"/>
      <c r="C12" s="1" t="s">
        <v>3</v>
      </c>
      <c r="D12" s="5">
        <f>SUM(D8:D11)</f>
        <v>6420</v>
      </c>
      <c r="E12" s="5">
        <f>SUM(E8:E11)</f>
        <v>7400</v>
      </c>
      <c r="F12" s="1"/>
      <c r="G12" s="1"/>
      <c r="H12" s="25" t="s">
        <v>280</v>
      </c>
      <c r="I12" s="25"/>
      <c r="J12" s="25"/>
      <c r="K12" s="223">
        <v>241</v>
      </c>
      <c r="L12" s="224">
        <v>268</v>
      </c>
      <c r="N12" s="14"/>
      <c r="O12" s="1" t="s">
        <v>225</v>
      </c>
      <c r="P12" s="5">
        <v>340</v>
      </c>
      <c r="Q12" s="18">
        <v>650</v>
      </c>
    </row>
    <row r="13" spans="2:18" x14ac:dyDescent="0.25">
      <c r="B13" s="14"/>
      <c r="C13" s="1"/>
      <c r="D13" s="5"/>
      <c r="E13" s="5"/>
      <c r="F13" s="1"/>
      <c r="G13" s="1"/>
      <c r="H13" s="1" t="s">
        <v>4</v>
      </c>
      <c r="I13" s="1"/>
      <c r="J13" s="1"/>
      <c r="K13" s="219">
        <f>SUM(K8:K12)</f>
        <v>3120</v>
      </c>
      <c r="L13" s="220">
        <f>SUM(L8:L12)</f>
        <v>3440</v>
      </c>
      <c r="N13" s="14"/>
      <c r="O13" s="25" t="s">
        <v>228</v>
      </c>
      <c r="P13" s="206">
        <v>290</v>
      </c>
      <c r="Q13" s="19">
        <v>300</v>
      </c>
    </row>
    <row r="14" spans="2:18" x14ac:dyDescent="0.25">
      <c r="B14" s="14" t="s">
        <v>187</v>
      </c>
      <c r="C14" s="1"/>
      <c r="D14" s="5"/>
      <c r="E14" s="5"/>
      <c r="F14" s="1"/>
      <c r="G14" s="1"/>
      <c r="H14" s="1"/>
      <c r="I14" s="1"/>
      <c r="J14" s="1"/>
      <c r="K14" s="5"/>
      <c r="L14" s="18"/>
      <c r="N14" s="14"/>
      <c r="O14" s="1" t="s">
        <v>73</v>
      </c>
      <c r="P14" s="5">
        <f>SUM(P8:P13)</f>
        <v>22220</v>
      </c>
      <c r="Q14" s="18">
        <f>SUM(Q8:Q13)</f>
        <v>24810</v>
      </c>
    </row>
    <row r="15" spans="2:18" x14ac:dyDescent="0.25">
      <c r="B15" s="14"/>
      <c r="C15" s="1"/>
      <c r="D15" s="5"/>
      <c r="E15" s="5"/>
      <c r="F15" s="1"/>
      <c r="G15" s="1" t="s">
        <v>7</v>
      </c>
      <c r="H15" s="1"/>
      <c r="I15" s="1"/>
      <c r="J15" s="1"/>
      <c r="K15" s="5"/>
      <c r="L15" s="18"/>
      <c r="N15" s="14"/>
      <c r="O15" s="1"/>
      <c r="P15" s="5"/>
      <c r="Q15" s="18"/>
    </row>
    <row r="16" spans="2:18" x14ac:dyDescent="0.25">
      <c r="B16" s="14"/>
      <c r="C16" s="25" t="s">
        <v>218</v>
      </c>
      <c r="D16" s="5">
        <v>3200</v>
      </c>
      <c r="E16" s="5">
        <v>3080</v>
      </c>
      <c r="F16" s="1"/>
      <c r="G16" s="1"/>
      <c r="H16" s="25" t="s">
        <v>61</v>
      </c>
      <c r="I16" s="25"/>
      <c r="J16" s="25"/>
      <c r="K16" s="5">
        <v>1650</v>
      </c>
      <c r="L16" s="18">
        <v>1520</v>
      </c>
      <c r="N16" s="14" t="s">
        <v>71</v>
      </c>
      <c r="O16" s="1"/>
      <c r="P16" s="5"/>
      <c r="Q16" s="18"/>
    </row>
    <row r="17" spans="1:18" x14ac:dyDescent="0.25">
      <c r="B17" s="14"/>
      <c r="C17" s="1" t="s">
        <v>219</v>
      </c>
      <c r="D17" s="5">
        <v>3940</v>
      </c>
      <c r="E17" s="5">
        <v>3720</v>
      </c>
      <c r="F17" s="1"/>
      <c r="G17" s="1"/>
      <c r="H17" s="25" t="s">
        <v>221</v>
      </c>
      <c r="I17" s="25"/>
      <c r="J17" s="25"/>
      <c r="K17" s="5">
        <v>850</v>
      </c>
      <c r="L17" s="18">
        <v>760</v>
      </c>
      <c r="N17" s="14"/>
      <c r="O17" s="25" t="s">
        <v>226</v>
      </c>
      <c r="P17" s="5">
        <v>4830</v>
      </c>
      <c r="Q17" s="18">
        <v>5440</v>
      </c>
    </row>
    <row r="18" spans="1:18" x14ac:dyDescent="0.25">
      <c r="B18" s="14"/>
      <c r="C18" s="25" t="s">
        <v>220</v>
      </c>
      <c r="D18" s="5">
        <v>8650</v>
      </c>
      <c r="E18" s="5">
        <v>8340</v>
      </c>
      <c r="F18" s="1"/>
      <c r="G18" s="1"/>
      <c r="H18" s="1" t="s">
        <v>281</v>
      </c>
      <c r="I18" s="1"/>
      <c r="J18" s="1"/>
      <c r="K18" s="5">
        <v>3310</v>
      </c>
      <c r="L18" s="18">
        <v>2800</v>
      </c>
      <c r="N18" s="14"/>
      <c r="O18" s="25" t="s">
        <v>227</v>
      </c>
      <c r="P18" s="5">
        <v>1930</v>
      </c>
      <c r="Q18" s="18">
        <v>2180</v>
      </c>
    </row>
    <row r="19" spans="1:18" x14ac:dyDescent="0.25">
      <c r="B19" s="14"/>
      <c r="C19" s="1" t="s">
        <v>17</v>
      </c>
      <c r="D19" s="5">
        <v>8190</v>
      </c>
      <c r="E19" s="5">
        <v>10160</v>
      </c>
      <c r="F19" s="1"/>
      <c r="G19" s="1"/>
      <c r="H19" s="25" t="s">
        <v>282</v>
      </c>
      <c r="I19" s="25"/>
      <c r="J19" s="25"/>
      <c r="K19" s="95">
        <v>1005</v>
      </c>
      <c r="L19" s="159">
        <v>997</v>
      </c>
      <c r="N19" s="14"/>
      <c r="O19" s="1" t="s">
        <v>230</v>
      </c>
      <c r="P19" s="5">
        <v>2400</v>
      </c>
      <c r="Q19" s="18">
        <v>2700</v>
      </c>
    </row>
    <row r="20" spans="1:18" x14ac:dyDescent="0.25">
      <c r="B20" s="14"/>
      <c r="C20" s="1" t="s">
        <v>18</v>
      </c>
      <c r="D20" s="4">
        <v>1480</v>
      </c>
      <c r="E20" s="4">
        <v>3270</v>
      </c>
      <c r="F20" s="1"/>
      <c r="G20" s="1"/>
      <c r="H20" s="1" t="s">
        <v>103</v>
      </c>
      <c r="I20" s="1"/>
      <c r="J20" s="1"/>
      <c r="K20" s="4">
        <v>805</v>
      </c>
      <c r="L20" s="19">
        <v>453</v>
      </c>
      <c r="N20" s="14"/>
      <c r="O20" s="1" t="s">
        <v>231</v>
      </c>
      <c r="P20" s="5">
        <v>2130</v>
      </c>
      <c r="Q20" s="18">
        <v>2170</v>
      </c>
    </row>
    <row r="21" spans="1:18" x14ac:dyDescent="0.25">
      <c r="B21" s="14"/>
      <c r="C21" s="1" t="s">
        <v>4</v>
      </c>
      <c r="D21" s="5">
        <f>SUM(D16:D20)</f>
        <v>25460</v>
      </c>
      <c r="E21" s="5">
        <f>SUM(E16:E20)</f>
        <v>28570</v>
      </c>
      <c r="F21" s="1"/>
      <c r="G21" s="1"/>
      <c r="H21" s="1" t="s">
        <v>4</v>
      </c>
      <c r="I21" s="1"/>
      <c r="J21" s="1"/>
      <c r="K21" s="5">
        <f>SUM(K16:K20)</f>
        <v>7620</v>
      </c>
      <c r="L21" s="18">
        <f>SUM(L16:L20)</f>
        <v>6530</v>
      </c>
      <c r="M21" s="158"/>
      <c r="N21" s="14"/>
      <c r="O21" s="25" t="s">
        <v>232</v>
      </c>
      <c r="P21" s="3">
        <v>400</v>
      </c>
      <c r="Q21" s="18">
        <v>450</v>
      </c>
    </row>
    <row r="22" spans="1:18" x14ac:dyDescent="0.25">
      <c r="B22" s="14"/>
      <c r="C22" s="1"/>
      <c r="D22" s="5"/>
      <c r="E22" s="5"/>
      <c r="F22" s="1"/>
      <c r="G22" s="1"/>
      <c r="H22" s="1"/>
      <c r="I22" s="1"/>
      <c r="J22" s="1"/>
      <c r="K22" s="5"/>
      <c r="L22" s="18"/>
      <c r="N22" s="14"/>
      <c r="O22" s="25" t="s">
        <v>229</v>
      </c>
      <c r="P22" s="3">
        <v>500</v>
      </c>
      <c r="Q22" s="159">
        <v>500</v>
      </c>
    </row>
    <row r="23" spans="1:18" x14ac:dyDescent="0.25">
      <c r="B23" s="14" t="s">
        <v>188</v>
      </c>
      <c r="F23" s="1"/>
      <c r="G23" s="1" t="s">
        <v>8</v>
      </c>
      <c r="H23" s="1"/>
      <c r="I23" s="1"/>
      <c r="J23" s="1"/>
      <c r="K23" s="5"/>
      <c r="L23" s="18"/>
      <c r="N23" s="14"/>
      <c r="O23" s="1" t="s">
        <v>16</v>
      </c>
      <c r="P23" s="4">
        <v>2420</v>
      </c>
      <c r="Q23" s="19">
        <v>2760</v>
      </c>
    </row>
    <row r="24" spans="1:18" x14ac:dyDescent="0.25">
      <c r="A24" s="15"/>
      <c r="C24" s="1" t="s">
        <v>69</v>
      </c>
      <c r="D24" s="1">
        <v>1250</v>
      </c>
      <c r="E24" s="1">
        <v>1250</v>
      </c>
      <c r="F24" s="1"/>
      <c r="G24" s="1"/>
      <c r="H24" s="1" t="s">
        <v>11</v>
      </c>
      <c r="I24" s="1"/>
      <c r="J24" s="1"/>
      <c r="K24" s="5">
        <v>5000</v>
      </c>
      <c r="L24" s="18">
        <v>5000</v>
      </c>
      <c r="N24" s="14"/>
      <c r="O24" s="1" t="s">
        <v>74</v>
      </c>
      <c r="P24" s="5">
        <f>SUM(P17:P23)</f>
        <v>14610</v>
      </c>
      <c r="Q24" s="18">
        <f>SUM(Q17:Q23)</f>
        <v>16200</v>
      </c>
    </row>
    <row r="25" spans="1:18" x14ac:dyDescent="0.25">
      <c r="A25" s="15"/>
      <c r="C25" s="25" t="s">
        <v>70</v>
      </c>
      <c r="D25">
        <v>600</v>
      </c>
      <c r="E25">
        <v>600</v>
      </c>
      <c r="F25" s="1"/>
      <c r="G25" s="1"/>
      <c r="H25" s="1" t="s">
        <v>12</v>
      </c>
      <c r="I25" s="1"/>
      <c r="J25" s="1"/>
      <c r="K25" s="5">
        <v>0</v>
      </c>
      <c r="L25" s="18">
        <v>0</v>
      </c>
      <c r="N25" s="14"/>
      <c r="O25" s="1"/>
      <c r="P25" s="5"/>
      <c r="Q25" s="18"/>
    </row>
    <row r="26" spans="1:18" x14ac:dyDescent="0.25">
      <c r="B26" s="14"/>
      <c r="F26" s="1"/>
      <c r="G26" s="1"/>
      <c r="H26" s="1" t="s">
        <v>9</v>
      </c>
      <c r="I26" s="1"/>
      <c r="J26" s="1"/>
      <c r="K26" s="4">
        <v>17990</v>
      </c>
      <c r="L26" s="19">
        <f>K26+Q41</f>
        <v>22850</v>
      </c>
      <c r="N26" s="14" t="s">
        <v>124</v>
      </c>
      <c r="O26" s="1"/>
      <c r="P26" s="5">
        <f>P14-P24</f>
        <v>7610</v>
      </c>
      <c r="Q26" s="18">
        <f>Q14-Q24</f>
        <v>8610</v>
      </c>
    </row>
    <row r="27" spans="1:18" x14ac:dyDescent="0.25">
      <c r="B27" s="14"/>
      <c r="F27" s="1"/>
      <c r="G27" s="1"/>
      <c r="H27" s="1" t="s">
        <v>4</v>
      </c>
      <c r="I27" s="1"/>
      <c r="J27" s="1"/>
      <c r="K27" s="5">
        <f>SUM(K24:K26)</f>
        <v>22990</v>
      </c>
      <c r="L27" s="18">
        <f>SUM(L24:L26)</f>
        <v>27850</v>
      </c>
      <c r="N27" s="14"/>
      <c r="O27" s="1"/>
      <c r="P27" s="5"/>
      <c r="Q27" s="18"/>
    </row>
    <row r="28" spans="1:18" x14ac:dyDescent="0.25">
      <c r="B28" s="14"/>
      <c r="F28" s="1"/>
      <c r="G28" s="1"/>
      <c r="L28" s="15"/>
      <c r="N28" s="14" t="s">
        <v>185</v>
      </c>
      <c r="O28" s="1"/>
      <c r="P28" s="5"/>
      <c r="Q28" s="31"/>
    </row>
    <row r="29" spans="1:18" x14ac:dyDescent="0.25">
      <c r="B29" s="20" t="s">
        <v>5</v>
      </c>
      <c r="C29" s="21"/>
      <c r="D29" s="4">
        <f>D12+D21+D24+D25</f>
        <v>33730</v>
      </c>
      <c r="E29" s="4">
        <f>E12+E21+E24+E25</f>
        <v>37820</v>
      </c>
      <c r="F29" s="21"/>
      <c r="G29" s="21" t="s">
        <v>10</v>
      </c>
      <c r="H29" s="21"/>
      <c r="I29" s="21"/>
      <c r="J29" s="21"/>
      <c r="K29" s="4">
        <f>K13+K21+K27</f>
        <v>33730</v>
      </c>
      <c r="L29" s="19">
        <f>L13+L21+L27</f>
        <v>37820</v>
      </c>
      <c r="N29" s="14"/>
      <c r="O29" s="1" t="s">
        <v>186</v>
      </c>
      <c r="P29" s="95">
        <v>-200</v>
      </c>
      <c r="Q29" s="18">
        <v>-200</v>
      </c>
    </row>
    <row r="30" spans="1:18" x14ac:dyDescent="0.25">
      <c r="A30" s="1"/>
      <c r="B30" s="1"/>
      <c r="C30" s="25"/>
      <c r="F30" s="1"/>
      <c r="G30" s="1"/>
      <c r="H30" s="1"/>
      <c r="I30" s="1"/>
      <c r="J30" s="1"/>
      <c r="K30" s="5"/>
      <c r="L30" s="5"/>
      <c r="M30" s="1"/>
      <c r="N30" s="14"/>
      <c r="O30" s="1" t="s">
        <v>75</v>
      </c>
      <c r="P30" s="95">
        <v>-90</v>
      </c>
      <c r="Q30" s="5">
        <v>-100</v>
      </c>
      <c r="R30" s="14"/>
    </row>
    <row r="31" spans="1:18" x14ac:dyDescent="0.25">
      <c r="A31" s="15"/>
      <c r="B31" s="280" t="s">
        <v>39</v>
      </c>
      <c r="C31" s="280"/>
      <c r="D31" s="280"/>
      <c r="E31" s="280"/>
      <c r="F31" s="280"/>
      <c r="G31" s="280"/>
      <c r="H31" s="280"/>
      <c r="I31" s="280"/>
      <c r="J31" s="280"/>
      <c r="K31" s="280"/>
      <c r="L31" s="281"/>
      <c r="N31" s="14"/>
      <c r="O31" s="25" t="s">
        <v>60</v>
      </c>
      <c r="P31" s="95">
        <v>1070</v>
      </c>
      <c r="Q31" s="18">
        <v>650</v>
      </c>
      <c r="R31" s="14"/>
    </row>
    <row r="32" spans="1:18" x14ac:dyDescent="0.25">
      <c r="A32" s="15"/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40"/>
      <c r="N32" s="14"/>
      <c r="O32" s="1" t="s">
        <v>59</v>
      </c>
      <c r="P32" s="4">
        <v>430</v>
      </c>
      <c r="Q32" s="19">
        <v>320</v>
      </c>
    </row>
    <row r="33" spans="1:29" ht="17.25" x14ac:dyDescent="0.25">
      <c r="A33" s="15"/>
      <c r="B33" s="1" t="s">
        <v>81</v>
      </c>
      <c r="C33" s="1"/>
      <c r="D33" s="1"/>
      <c r="E33" s="43">
        <f>W37</f>
        <v>2012</v>
      </c>
      <c r="F33" s="16"/>
      <c r="G33" s="2"/>
      <c r="H33" s="157">
        <f>X37</f>
        <v>2013</v>
      </c>
      <c r="I33" s="157">
        <f t="shared" ref="I33:J33" si="0">Y37</f>
        <v>2014</v>
      </c>
      <c r="J33" s="157">
        <f t="shared" si="0"/>
        <v>2015</v>
      </c>
      <c r="K33" s="139">
        <f>D6</f>
        <v>2016</v>
      </c>
      <c r="L33" s="140">
        <f>E6</f>
        <v>2017</v>
      </c>
      <c r="N33" s="14"/>
      <c r="O33" s="25" t="s">
        <v>62</v>
      </c>
      <c r="P33" s="5">
        <f>SUM(P29:P32)</f>
        <v>1210</v>
      </c>
      <c r="Q33" s="69">
        <f>SUM(Q29:Q32)</f>
        <v>670</v>
      </c>
    </row>
    <row r="34" spans="1:29" x14ac:dyDescent="0.25">
      <c r="B34" s="14"/>
      <c r="C34" s="1" t="s">
        <v>79</v>
      </c>
      <c r="D34" s="1"/>
      <c r="E34" s="234">
        <f t="shared" ref="E34:E39" si="1">W38</f>
        <v>5000</v>
      </c>
      <c r="F34" s="235"/>
      <c r="G34" s="236"/>
      <c r="H34" s="237">
        <f t="shared" ref="H34:H39" si="2">X38</f>
        <v>5000</v>
      </c>
      <c r="I34" s="237">
        <f t="shared" ref="I34:I39" si="3">Y38</f>
        <v>5000</v>
      </c>
      <c r="J34" s="237">
        <f t="shared" ref="J34:J39" si="4">Z38</f>
        <v>5000</v>
      </c>
      <c r="K34" s="234">
        <f>AA38</f>
        <v>5000</v>
      </c>
      <c r="L34" s="238">
        <f>AB38</f>
        <v>5000</v>
      </c>
      <c r="N34" s="14"/>
      <c r="P34" s="3"/>
      <c r="Q34" s="18"/>
    </row>
    <row r="35" spans="1:29" x14ac:dyDescent="0.25">
      <c r="A35" s="15"/>
      <c r="B35" s="14"/>
      <c r="C35" s="1" t="s">
        <v>38</v>
      </c>
      <c r="D35" s="1"/>
      <c r="E35" s="230">
        <f t="shared" si="1"/>
        <v>1</v>
      </c>
      <c r="F35" s="229"/>
      <c r="G35" s="205"/>
      <c r="H35" s="64">
        <f t="shared" si="2"/>
        <v>2.59</v>
      </c>
      <c r="I35" s="64">
        <f t="shared" si="3"/>
        <v>6.66</v>
      </c>
      <c r="J35" s="64">
        <f t="shared" si="4"/>
        <v>6.2160000000000002</v>
      </c>
      <c r="K35" s="52">
        <f t="shared" ref="K35:L35" si="5">AA39</f>
        <v>7.1336000000000004</v>
      </c>
      <c r="L35" s="53">
        <f t="shared" si="5"/>
        <v>9.1050000000000004</v>
      </c>
      <c r="N35" s="14" t="s">
        <v>14</v>
      </c>
      <c r="O35" s="1"/>
      <c r="P35" s="5">
        <f>P26-P33</f>
        <v>6400</v>
      </c>
      <c r="Q35" s="18">
        <f>Q26-Q33</f>
        <v>7940</v>
      </c>
      <c r="T35" s="15"/>
      <c r="U35" s="279" t="s">
        <v>39</v>
      </c>
      <c r="V35" s="280"/>
      <c r="W35" s="280"/>
      <c r="X35" s="280"/>
      <c r="Y35" s="280"/>
      <c r="Z35" s="280"/>
      <c r="AA35" s="280"/>
      <c r="AB35" s="281"/>
    </row>
    <row r="36" spans="1:29" x14ac:dyDescent="0.25">
      <c r="A36" s="15"/>
      <c r="B36" s="14"/>
      <c r="C36" s="1" t="s">
        <v>54</v>
      </c>
      <c r="D36" s="1"/>
      <c r="E36" s="228" t="str">
        <f t="shared" si="1"/>
        <v>NA</v>
      </c>
      <c r="F36" s="229"/>
      <c r="G36" s="205"/>
      <c r="H36" s="64">
        <f t="shared" si="2"/>
        <v>7.4</v>
      </c>
      <c r="I36" s="64">
        <f t="shared" si="3"/>
        <v>7.4</v>
      </c>
      <c r="J36" s="64">
        <f t="shared" si="4"/>
        <v>7.4</v>
      </c>
      <c r="K36" s="52">
        <f t="shared" ref="K36:L36" si="6">AA40</f>
        <v>7.4</v>
      </c>
      <c r="L36" s="53">
        <f t="shared" si="6"/>
        <v>7.5</v>
      </c>
      <c r="N36" s="14"/>
      <c r="O36" s="185" t="s">
        <v>245</v>
      </c>
      <c r="P36" s="4">
        <v>1580</v>
      </c>
      <c r="Q36" s="19">
        <v>1870</v>
      </c>
      <c r="T36" s="15"/>
      <c r="U36" s="56"/>
      <c r="V36" s="39"/>
      <c r="W36" s="39"/>
      <c r="X36" s="39"/>
      <c r="Y36" s="39"/>
      <c r="Z36" s="39"/>
      <c r="AA36" s="39"/>
      <c r="AB36" s="40"/>
    </row>
    <row r="37" spans="1:29" ht="18" thickBot="1" x14ac:dyDescent="0.3">
      <c r="B37" s="14"/>
      <c r="C37" s="25" t="s">
        <v>53</v>
      </c>
      <c r="D37" s="1"/>
      <c r="E37" s="228" t="str">
        <f t="shared" si="1"/>
        <v>--</v>
      </c>
      <c r="F37" s="229"/>
      <c r="G37" s="205"/>
      <c r="H37" s="64">
        <f t="shared" si="2"/>
        <v>0.35</v>
      </c>
      <c r="I37" s="64">
        <f t="shared" si="3"/>
        <v>0.9</v>
      </c>
      <c r="J37" s="64">
        <f t="shared" si="4"/>
        <v>0.84</v>
      </c>
      <c r="K37" s="52">
        <f t="shared" ref="K37:L37" si="7">AA41</f>
        <v>0.96399999999999997</v>
      </c>
      <c r="L37" s="53">
        <f t="shared" si="7"/>
        <v>1.214</v>
      </c>
      <c r="N37" s="14"/>
      <c r="O37" s="1" t="s">
        <v>15</v>
      </c>
      <c r="P37" s="30">
        <f>P35-P36</f>
        <v>4820</v>
      </c>
      <c r="Q37" s="24">
        <f>Q35-Q36</f>
        <v>6070</v>
      </c>
      <c r="U37" s="14" t="s">
        <v>81</v>
      </c>
      <c r="V37" s="1"/>
      <c r="W37" s="142">
        <f>X37-1</f>
        <v>2012</v>
      </c>
      <c r="X37" s="142">
        <f>Y37-1</f>
        <v>2013</v>
      </c>
      <c r="Y37" s="142">
        <f>Z37-1</f>
        <v>2014</v>
      </c>
      <c r="Z37" s="47">
        <f>AA37-1</f>
        <v>2015</v>
      </c>
      <c r="AA37" s="36">
        <f>D6</f>
        <v>2016</v>
      </c>
      <c r="AB37" s="37">
        <f>E6</f>
        <v>2017</v>
      </c>
    </row>
    <row r="38" spans="1:29" ht="15.75" thickTop="1" x14ac:dyDescent="0.25">
      <c r="B38" s="14"/>
      <c r="C38" s="1" t="s">
        <v>80</v>
      </c>
      <c r="D38" s="1"/>
      <c r="E38" s="234">
        <f t="shared" si="1"/>
        <v>0</v>
      </c>
      <c r="F38" s="235"/>
      <c r="G38" s="236"/>
      <c r="H38" s="237">
        <f t="shared" si="2"/>
        <v>12950</v>
      </c>
      <c r="I38" s="237">
        <f t="shared" si="3"/>
        <v>33300</v>
      </c>
      <c r="J38" s="237">
        <f t="shared" si="4"/>
        <v>31080</v>
      </c>
      <c r="K38" s="234">
        <f t="shared" ref="K38:L38" si="8">AA42</f>
        <v>35668</v>
      </c>
      <c r="L38" s="238">
        <f t="shared" si="8"/>
        <v>45525</v>
      </c>
      <c r="N38" s="14"/>
      <c r="O38" s="1"/>
      <c r="P38" s="5"/>
      <c r="Q38" s="18"/>
      <c r="U38" s="14"/>
      <c r="V38" s="1" t="s">
        <v>79</v>
      </c>
      <c r="W38" s="38">
        <v>5000</v>
      </c>
      <c r="X38" s="38">
        <v>5000</v>
      </c>
      <c r="Y38" s="38">
        <v>5000</v>
      </c>
      <c r="Z38" s="38">
        <v>5000</v>
      </c>
      <c r="AA38" s="38">
        <v>5000</v>
      </c>
      <c r="AB38" s="38">
        <v>5000</v>
      </c>
      <c r="AC38" s="14"/>
    </row>
    <row r="39" spans="1:29" x14ac:dyDescent="0.25">
      <c r="B39" s="14"/>
      <c r="C39" s="25" t="s">
        <v>82</v>
      </c>
      <c r="D39" s="1"/>
      <c r="E39" s="57">
        <f t="shared" si="1"/>
        <v>0</v>
      </c>
      <c r="F39" s="216"/>
      <c r="G39" s="231"/>
      <c r="H39" s="232">
        <f t="shared" si="2"/>
        <v>0</v>
      </c>
      <c r="I39" s="232">
        <f t="shared" si="3"/>
        <v>0</v>
      </c>
      <c r="J39" s="232">
        <f t="shared" si="4"/>
        <v>0.14000000000000001</v>
      </c>
      <c r="K39" s="57">
        <f t="shared" ref="K39:L39" si="9">AA43</f>
        <v>0.192</v>
      </c>
      <c r="L39" s="233">
        <f t="shared" si="9"/>
        <v>0.24199999999999999</v>
      </c>
      <c r="N39" s="14" t="s">
        <v>19</v>
      </c>
      <c r="O39" s="1"/>
      <c r="P39" s="5"/>
      <c r="Q39" s="18"/>
      <c r="U39" s="14"/>
      <c r="V39" s="1" t="s">
        <v>38</v>
      </c>
      <c r="W39" s="42">
        <v>1</v>
      </c>
      <c r="X39" s="52">
        <f t="shared" ref="X39:Z39" si="10">X40*X41</f>
        <v>2.59</v>
      </c>
      <c r="Y39" s="52">
        <f t="shared" si="10"/>
        <v>6.66</v>
      </c>
      <c r="Z39" s="52">
        <f t="shared" si="10"/>
        <v>6.2160000000000002</v>
      </c>
      <c r="AA39" s="52">
        <f>AA40*AA41</f>
        <v>7.1336000000000004</v>
      </c>
      <c r="AB39" s="226">
        <f>AB40*AB41</f>
        <v>9.1050000000000004</v>
      </c>
    </row>
    <row r="40" spans="1:29" x14ac:dyDescent="0.25">
      <c r="B40" s="14"/>
      <c r="C40" s="1"/>
      <c r="D40" s="1"/>
      <c r="E40" s="38"/>
      <c r="F40" s="1"/>
      <c r="G40" s="1"/>
      <c r="H40" s="1"/>
      <c r="I40" s="1"/>
      <c r="J40" s="1"/>
      <c r="K40" s="55"/>
      <c r="L40" s="54"/>
      <c r="N40" s="14"/>
      <c r="O40" s="1" t="s">
        <v>20</v>
      </c>
      <c r="P40" s="5">
        <v>960</v>
      </c>
      <c r="Q40" s="18">
        <v>1210</v>
      </c>
      <c r="U40" s="14"/>
      <c r="V40" s="1" t="s">
        <v>54</v>
      </c>
      <c r="W40" s="38" t="s">
        <v>76</v>
      </c>
      <c r="X40" s="58">
        <v>7.4</v>
      </c>
      <c r="Y40" s="58">
        <v>7.4</v>
      </c>
      <c r="Z40" s="58">
        <v>7.4</v>
      </c>
      <c r="AA40" s="58">
        <v>7.4</v>
      </c>
      <c r="AB40" s="62">
        <v>7.5</v>
      </c>
    </row>
    <row r="41" spans="1:29" ht="17.25" x14ac:dyDescent="0.25">
      <c r="B41" s="44">
        <v>1</v>
      </c>
      <c r="C41" s="45" t="s">
        <v>285</v>
      </c>
      <c r="D41" s="45"/>
      <c r="E41" s="46"/>
      <c r="F41" s="45"/>
      <c r="G41" s="45"/>
      <c r="H41" s="45"/>
      <c r="I41" s="45"/>
      <c r="J41" s="45"/>
      <c r="K41" s="22"/>
      <c r="L41" s="23"/>
      <c r="N41" s="20"/>
      <c r="O41" s="21" t="s">
        <v>21</v>
      </c>
      <c r="P41" s="4">
        <v>1210</v>
      </c>
      <c r="Q41" s="19">
        <f>Q37-Q40</f>
        <v>4860</v>
      </c>
      <c r="U41" s="14"/>
      <c r="V41" s="25" t="s">
        <v>53</v>
      </c>
      <c r="W41" s="41" t="s">
        <v>58</v>
      </c>
      <c r="X41" s="227">
        <v>0.35</v>
      </c>
      <c r="Y41" s="227">
        <v>0.9</v>
      </c>
      <c r="Z41" s="227">
        <v>0.84</v>
      </c>
      <c r="AA41" s="227">
        <f>P37/AA38</f>
        <v>0.96399999999999997</v>
      </c>
      <c r="AB41" s="225">
        <f>Q37/AB38</f>
        <v>1.214</v>
      </c>
    </row>
    <row r="42" spans="1:29" x14ac:dyDescent="0.25">
      <c r="M42" s="1"/>
      <c r="N42" s="1"/>
      <c r="O42" s="1"/>
      <c r="P42" s="5"/>
      <c r="Q42" s="5"/>
      <c r="R42" s="1"/>
      <c r="U42" s="14"/>
      <c r="V42" s="1" t="s">
        <v>80</v>
      </c>
      <c r="W42" s="38"/>
      <c r="X42" s="52">
        <f t="shared" ref="X42:Z42" si="11">X38*X39</f>
        <v>12950</v>
      </c>
      <c r="Y42" s="52">
        <f t="shared" si="11"/>
        <v>33300</v>
      </c>
      <c r="Z42" s="52">
        <f t="shared" si="11"/>
        <v>31080</v>
      </c>
      <c r="AA42" s="52">
        <f>AA38*AA39</f>
        <v>35668</v>
      </c>
      <c r="AB42" s="53">
        <f>AB38*AB39</f>
        <v>45525</v>
      </c>
    </row>
    <row r="43" spans="1:29" x14ac:dyDescent="0.25">
      <c r="D43" s="2">
        <f>D6</f>
        <v>2016</v>
      </c>
      <c r="E43" s="2">
        <f>E6</f>
        <v>2017</v>
      </c>
      <c r="K43" s="2">
        <f>D43</f>
        <v>2016</v>
      </c>
      <c r="L43" s="2">
        <f>E43</f>
        <v>2017</v>
      </c>
      <c r="R43" s="1"/>
      <c r="U43" s="14"/>
      <c r="V43" s="25" t="s">
        <v>82</v>
      </c>
      <c r="W43" s="42">
        <v>0</v>
      </c>
      <c r="X43" s="60">
        <f t="shared" ref="X43:Y43" si="12">M40/X38</f>
        <v>0</v>
      </c>
      <c r="Y43" s="60">
        <f t="shared" si="12"/>
        <v>0</v>
      </c>
      <c r="Z43" s="60">
        <f>700/Z38</f>
        <v>0.14000000000000001</v>
      </c>
      <c r="AA43" s="60">
        <f>P40/AA38</f>
        <v>0.192</v>
      </c>
      <c r="AB43" s="61">
        <f>Q40/L24</f>
        <v>0.24199999999999999</v>
      </c>
      <c r="AC43" s="10"/>
    </row>
    <row r="44" spans="1:29" x14ac:dyDescent="0.25">
      <c r="C44" t="s">
        <v>124</v>
      </c>
      <c r="D44" s="6">
        <f>P26</f>
        <v>7610</v>
      </c>
      <c r="E44" s="6">
        <f>Q26</f>
        <v>8610</v>
      </c>
      <c r="H44" t="s">
        <v>40</v>
      </c>
      <c r="K44" s="6"/>
      <c r="L44" s="101">
        <f>L49+L50+L51</f>
        <v>52481.914967959114</v>
      </c>
      <c r="O44" t="s">
        <v>50</v>
      </c>
      <c r="Q44" s="11">
        <f>(((Q40/L24)+(L35-K35))/K35)</f>
        <v>0.31027812044409553</v>
      </c>
      <c r="R44" s="1"/>
      <c r="U44" s="14"/>
      <c r="V44" s="1"/>
      <c r="W44" s="38"/>
      <c r="X44" s="38"/>
      <c r="Y44" s="49"/>
      <c r="Z44" s="49"/>
      <c r="AA44" s="55"/>
      <c r="AB44" s="54"/>
    </row>
    <row r="45" spans="1:29" ht="17.25" x14ac:dyDescent="0.25">
      <c r="D45" s="6"/>
      <c r="E45" s="6"/>
      <c r="H45" t="s">
        <v>41</v>
      </c>
      <c r="K45" s="26"/>
      <c r="L45" s="11">
        <f>L49/$L$44</f>
        <v>0.86744167067443323</v>
      </c>
      <c r="O45" t="s">
        <v>51</v>
      </c>
      <c r="Q45" s="11">
        <f xml:space="preserve"> ((Q40/L34)/L35)</f>
        <v>2.6578802855573857E-2</v>
      </c>
      <c r="U45" s="44">
        <v>1</v>
      </c>
      <c r="V45" s="45" t="s">
        <v>285</v>
      </c>
      <c r="W45" s="46"/>
      <c r="X45" s="45"/>
      <c r="Y45" s="45"/>
      <c r="Z45" s="45"/>
      <c r="AA45" s="50"/>
      <c r="AB45" s="51"/>
    </row>
    <row r="46" spans="1:29" x14ac:dyDescent="0.25">
      <c r="C46" t="s">
        <v>23</v>
      </c>
      <c r="D46" s="6">
        <f>D12-K13</f>
        <v>3300</v>
      </c>
      <c r="E46" s="6">
        <f>E12-L13</f>
        <v>3960</v>
      </c>
      <c r="H46" t="s">
        <v>42</v>
      </c>
      <c r="K46" s="26"/>
      <c r="L46" s="11">
        <f>L50/$L$44</f>
        <v>0</v>
      </c>
      <c r="O46" t="s">
        <v>52</v>
      </c>
      <c r="Q46" s="11">
        <f>((L35-K35)/K35)</f>
        <v>0.27635415498486038</v>
      </c>
    </row>
    <row r="47" spans="1:29" x14ac:dyDescent="0.25">
      <c r="C47" t="s">
        <v>22</v>
      </c>
      <c r="D47" s="6">
        <f>D44+P23-P36</f>
        <v>8450</v>
      </c>
      <c r="E47" s="6">
        <f>E44+Q23-Q36</f>
        <v>9500</v>
      </c>
      <c r="H47" t="s">
        <v>43</v>
      </c>
      <c r="K47" s="26"/>
      <c r="L47" s="11">
        <f>L51/$L$44</f>
        <v>0.13255832932556671</v>
      </c>
    </row>
    <row r="48" spans="1:29" x14ac:dyDescent="0.25">
      <c r="C48" t="s">
        <v>24</v>
      </c>
      <c r="D48" s="6"/>
      <c r="E48" s="6">
        <f>E21-D21+Q23</f>
        <v>5870</v>
      </c>
      <c r="V48" t="s">
        <v>86</v>
      </c>
      <c r="W48" s="9">
        <f>(W43/W39)*100</f>
        <v>0</v>
      </c>
      <c r="X48" s="9">
        <f>(X43/X39)*100</f>
        <v>0</v>
      </c>
      <c r="Y48" s="9">
        <f>(Y43/Y39)*100</f>
        <v>0</v>
      </c>
      <c r="Z48" s="9">
        <f>(Z43/Z39)*100</f>
        <v>2.2522522522522523</v>
      </c>
      <c r="AA48" s="9">
        <f t="shared" ref="AA48:AB48" si="13">(AA43/AA39)*100</f>
        <v>2.6914881686665915</v>
      </c>
      <c r="AB48" s="9">
        <f t="shared" si="13"/>
        <v>2.6578802855573858</v>
      </c>
    </row>
    <row r="49" spans="3:28" x14ac:dyDescent="0.25">
      <c r="C49" s="7" t="s">
        <v>29</v>
      </c>
      <c r="E49" s="6">
        <f>E46-D46</f>
        <v>660</v>
      </c>
      <c r="H49" t="s">
        <v>197</v>
      </c>
      <c r="L49" s="100">
        <f>L34*L35</f>
        <v>45525</v>
      </c>
      <c r="O49" t="s">
        <v>184</v>
      </c>
      <c r="Q49" s="98">
        <f>L43</f>
        <v>2017</v>
      </c>
      <c r="W49" s="9"/>
      <c r="X49" s="9"/>
      <c r="Y49" s="9"/>
      <c r="Z49" s="9"/>
      <c r="AA49" s="9"/>
      <c r="AB49" s="9"/>
    </row>
    <row r="50" spans="3:28" x14ac:dyDescent="0.25">
      <c r="C50" t="s">
        <v>25</v>
      </c>
      <c r="D50" s="6"/>
      <c r="E50" s="6">
        <f>E47-E48-E49</f>
        <v>2970</v>
      </c>
      <c r="H50" t="s">
        <v>198</v>
      </c>
      <c r="L50" s="100">
        <v>0</v>
      </c>
      <c r="O50" t="s">
        <v>116</v>
      </c>
      <c r="Q50" s="11">
        <v>0.34</v>
      </c>
      <c r="V50" t="s">
        <v>84</v>
      </c>
      <c r="W50" s="68" t="s">
        <v>58</v>
      </c>
      <c r="X50" s="68" t="s">
        <v>58</v>
      </c>
      <c r="Y50" s="68" t="s">
        <v>58</v>
      </c>
      <c r="Z50" s="63" t="e">
        <f>(Z43-Y43)/Y43</f>
        <v>#DIV/0!</v>
      </c>
      <c r="AA50" s="63">
        <f>(AA43-Z43)/Z43</f>
        <v>0.37142857142857133</v>
      </c>
      <c r="AB50" s="63">
        <f>(AB43-AA43)/AA43</f>
        <v>0.26041666666666663</v>
      </c>
    </row>
    <row r="51" spans="3:28" x14ac:dyDescent="0.25">
      <c r="C51" t="s">
        <v>26</v>
      </c>
      <c r="D51" s="6"/>
      <c r="E51" s="6">
        <f>E52+E53</f>
        <v>2970</v>
      </c>
      <c r="H51" t="s">
        <v>121</v>
      </c>
      <c r="L51" s="100">
        <f>L53/1000+L16+L20+L17+L19</f>
        <v>6956.9149679591137</v>
      </c>
      <c r="O51" t="s">
        <v>117</v>
      </c>
      <c r="Q51" s="11">
        <v>0.34</v>
      </c>
      <c r="V51" t="s">
        <v>85</v>
      </c>
      <c r="W51" s="68" t="s">
        <v>58</v>
      </c>
      <c r="X51" s="68" t="s">
        <v>58</v>
      </c>
      <c r="Y51" s="68" t="s">
        <v>58</v>
      </c>
      <c r="Z51" s="63" t="e">
        <f>(Z$43/Z$39)+Z50</f>
        <v>#DIV/0!</v>
      </c>
      <c r="AA51" s="63">
        <f t="shared" ref="AA51:AB51" si="14">(AA$43/AA$39)+AA50</f>
        <v>0.39834345311523722</v>
      </c>
      <c r="AB51" s="63">
        <f t="shared" si="14"/>
        <v>0.28699546952224048</v>
      </c>
    </row>
    <row r="52" spans="3:28" x14ac:dyDescent="0.25">
      <c r="C52" t="s">
        <v>27</v>
      </c>
      <c r="D52" s="6"/>
      <c r="E52" s="6">
        <f>Q33-(L21-K21)</f>
        <v>1760</v>
      </c>
      <c r="O52" t="s">
        <v>183</v>
      </c>
      <c r="Q52" s="11">
        <f>Q36/Q35</f>
        <v>0.23551637279596976</v>
      </c>
      <c r="W52" s="9"/>
      <c r="X52" s="9"/>
      <c r="Y52" s="9"/>
      <c r="Z52" s="9"/>
      <c r="AA52" s="9"/>
      <c r="AB52" s="9"/>
    </row>
    <row r="53" spans="3:28" x14ac:dyDescent="0.25">
      <c r="C53" t="s">
        <v>28</v>
      </c>
      <c r="E53" s="6">
        <f>Q40-(L24-K24)</f>
        <v>1210</v>
      </c>
      <c r="H53" t="s">
        <v>189</v>
      </c>
      <c r="L53" s="94">
        <f>L54*L55</f>
        <v>3226914.9679591144</v>
      </c>
      <c r="V53" t="s">
        <v>83</v>
      </c>
      <c r="W53" s="68" t="s">
        <v>58</v>
      </c>
      <c r="X53" s="68" t="s">
        <v>58</v>
      </c>
      <c r="Y53" s="63">
        <f>(Y41-X41)/X41</f>
        <v>1.5714285714285716</v>
      </c>
      <c r="Z53" s="63">
        <f>(Z41-Y41)/Y41</f>
        <v>-6.6666666666666721E-2</v>
      </c>
      <c r="AA53" s="63">
        <f>(AA41-Z41)/Z41</f>
        <v>0.14761904761904762</v>
      </c>
      <c r="AB53" s="63">
        <f>(AB41-AA41)/AA41</f>
        <v>0.25933609958506226</v>
      </c>
    </row>
    <row r="54" spans="3:28" x14ac:dyDescent="0.25">
      <c r="C54" t="s">
        <v>30</v>
      </c>
      <c r="E54" s="6">
        <f>E44+Q23</f>
        <v>11370</v>
      </c>
      <c r="H54" t="s">
        <v>196</v>
      </c>
      <c r="L54" s="99">
        <f>-PV(L58/L59,L60*L59,L56*L57/L59,L56)</f>
        <v>1152.4696314139694</v>
      </c>
      <c r="V54" t="s">
        <v>85</v>
      </c>
      <c r="W54" s="9"/>
      <c r="X54" s="9"/>
      <c r="Y54" s="9"/>
      <c r="Z54" s="63">
        <f>(Z$41/Y$39)+Z53</f>
        <v>5.9459459459459393E-2</v>
      </c>
      <c r="AA54" s="63">
        <f>(AA$41/Z$39)+AA53</f>
        <v>0.30270270270270272</v>
      </c>
      <c r="AB54" s="63">
        <f>(AB$41/AA$39)+AB53</f>
        <v>0.42951665358304364</v>
      </c>
    </row>
    <row r="55" spans="3:28" x14ac:dyDescent="0.25">
      <c r="D55" s="6"/>
      <c r="E55" s="6"/>
      <c r="H55" t="s">
        <v>190</v>
      </c>
      <c r="L55" s="8">
        <f>L18*1000/L56</f>
        <v>2800</v>
      </c>
      <c r="O55" t="s">
        <v>46</v>
      </c>
      <c r="P55" s="27"/>
      <c r="Q55" s="11">
        <v>1.4999999999999999E-2</v>
      </c>
    </row>
    <row r="56" spans="3:28" x14ac:dyDescent="0.25">
      <c r="C56" t="s">
        <v>31</v>
      </c>
      <c r="D56" s="11">
        <f>(P37/D29)</f>
        <v>0.14289949599762822</v>
      </c>
      <c r="E56" s="11">
        <f>(Q37/E29)</f>
        <v>0.16049709148598626</v>
      </c>
      <c r="H56" t="s">
        <v>191</v>
      </c>
      <c r="L56">
        <v>1000</v>
      </c>
      <c r="O56" t="s">
        <v>199</v>
      </c>
      <c r="Q56" s="11">
        <v>0.05</v>
      </c>
    </row>
    <row r="57" spans="3:28" x14ac:dyDescent="0.25">
      <c r="C57" t="s">
        <v>32</v>
      </c>
      <c r="D57" s="11">
        <f>P37/K27</f>
        <v>0.20965637233579817</v>
      </c>
      <c r="E57" s="11">
        <f>Q37/L27</f>
        <v>0.21795332136445242</v>
      </c>
      <c r="H57" t="s">
        <v>192</v>
      </c>
      <c r="L57" s="241">
        <v>0.1</v>
      </c>
      <c r="V57" s="276" t="s">
        <v>101</v>
      </c>
      <c r="W57" s="277"/>
      <c r="X57" s="277"/>
      <c r="Y57" s="277"/>
      <c r="Z57" s="277"/>
      <c r="AA57" s="277"/>
      <c r="AB57" s="278"/>
    </row>
    <row r="58" spans="3:28" ht="18" x14ac:dyDescent="0.35">
      <c r="C58" t="s">
        <v>34</v>
      </c>
      <c r="D58" s="11">
        <f>P37/P14</f>
        <v>0.21692169216921692</v>
      </c>
      <c r="E58" s="11">
        <f>Q37/Q14</f>
        <v>0.24465941152760984</v>
      </c>
      <c r="H58" t="s">
        <v>193</v>
      </c>
      <c r="L58" s="11">
        <v>0.08</v>
      </c>
      <c r="Q58" s="8"/>
      <c r="W58" s="48"/>
      <c r="X58" s="47" t="s">
        <v>89</v>
      </c>
      <c r="Y58" s="47" t="s">
        <v>90</v>
      </c>
      <c r="Z58" s="47" t="s">
        <v>91</v>
      </c>
      <c r="AA58" s="47" t="s">
        <v>87</v>
      </c>
      <c r="AB58" s="48"/>
    </row>
    <row r="59" spans="3:28" ht="18" x14ac:dyDescent="0.35">
      <c r="C59" t="s">
        <v>35</v>
      </c>
      <c r="D59" s="10">
        <f>P14/D29</f>
        <v>0.65876074710939814</v>
      </c>
      <c r="E59" s="10">
        <f>Q14/E29</f>
        <v>0.65600211528291907</v>
      </c>
      <c r="H59" t="s">
        <v>194</v>
      </c>
      <c r="L59">
        <v>2</v>
      </c>
      <c r="O59" t="s">
        <v>307</v>
      </c>
      <c r="Q59" s="200">
        <f>L49+L50+L51-(E8+E9)</f>
        <v>50981.914967959114</v>
      </c>
      <c r="V59" s="47" t="s">
        <v>95</v>
      </c>
      <c r="W59" s="48"/>
      <c r="X59" s="48">
        <v>0</v>
      </c>
      <c r="Y59" s="48">
        <v>0.1</v>
      </c>
      <c r="Z59" s="48">
        <v>0.03</v>
      </c>
      <c r="AA59" s="48">
        <v>0.06</v>
      </c>
      <c r="AB59" s="48"/>
    </row>
    <row r="60" spans="3:28" x14ac:dyDescent="0.25">
      <c r="C60" t="s">
        <v>36</v>
      </c>
      <c r="D60" s="8">
        <f>D29/K27</f>
        <v>1.4671596346237494</v>
      </c>
      <c r="E60" s="8">
        <f>E29/L27</f>
        <v>1.3579892280071812</v>
      </c>
      <c r="H60" t="s">
        <v>195</v>
      </c>
      <c r="L60">
        <v>12</v>
      </c>
      <c r="O60" t="s">
        <v>246</v>
      </c>
      <c r="Q60" s="10">
        <f>Q59/Q26</f>
        <v>5.9212444794377603</v>
      </c>
      <c r="V60" s="63">
        <f>V63+V67+W70</f>
        <v>9.503219898037969</v>
      </c>
      <c r="W60" s="48"/>
      <c r="X60" s="48"/>
      <c r="Y60" s="48"/>
      <c r="Z60" s="48"/>
      <c r="AA60" s="48"/>
      <c r="AB60" s="48"/>
    </row>
    <row r="61" spans="3:28" x14ac:dyDescent="0.25">
      <c r="C61" t="s">
        <v>33</v>
      </c>
      <c r="D61" s="11">
        <f>D58*D59*D60</f>
        <v>0.20965637233579815</v>
      </c>
      <c r="E61" s="11">
        <f>E58*E59*E60</f>
        <v>0.21795332136445242</v>
      </c>
      <c r="W61" s="47" t="s">
        <v>92</v>
      </c>
      <c r="X61" s="64">
        <v>1</v>
      </c>
      <c r="Y61" s="64">
        <v>2</v>
      </c>
      <c r="Z61" s="64">
        <v>3</v>
      </c>
      <c r="AA61" s="64">
        <v>4</v>
      </c>
      <c r="AB61" s="64">
        <v>5</v>
      </c>
    </row>
    <row r="62" spans="3:28" ht="18" x14ac:dyDescent="0.35">
      <c r="C62" t="s">
        <v>63</v>
      </c>
      <c r="D62" s="11">
        <f>P37/K27</f>
        <v>0.20965637233579817</v>
      </c>
      <c r="E62" s="11">
        <f>Q37/L27</f>
        <v>0.21795332136445242</v>
      </c>
      <c r="H62" t="s">
        <v>44</v>
      </c>
      <c r="K62" s="26"/>
      <c r="L62" s="26">
        <f>L58</f>
        <v>0.08</v>
      </c>
      <c r="V62" s="67" t="s">
        <v>98</v>
      </c>
      <c r="W62" s="47" t="s">
        <v>88</v>
      </c>
      <c r="X62" s="48">
        <f>$AB$43*((1+$X$59)^X61)</f>
        <v>0.24199999999999999</v>
      </c>
      <c r="Y62" s="48">
        <f>$AB$43*((1+$X$59)^Y61)</f>
        <v>0.24199999999999999</v>
      </c>
      <c r="Z62" s="48">
        <f>$AB$43*((1+$X$59)^Z61)</f>
        <v>0.24199999999999999</v>
      </c>
      <c r="AA62" s="48">
        <f>$AB$43*((1+$X$59)^AA61)</f>
        <v>0.24199999999999999</v>
      </c>
      <c r="AB62" s="48">
        <f>$AB$43*((1+$X$59)^AB61)</f>
        <v>0.24199999999999999</v>
      </c>
    </row>
    <row r="63" spans="3:28" ht="18" x14ac:dyDescent="0.35">
      <c r="C63" t="s">
        <v>37</v>
      </c>
      <c r="D63" s="12">
        <f>P40/P37</f>
        <v>0.19917012448132779</v>
      </c>
      <c r="E63" s="12">
        <f>Q40/Q37</f>
        <v>0.19934102141680396</v>
      </c>
      <c r="H63" t="s">
        <v>45</v>
      </c>
      <c r="K63" s="32"/>
      <c r="L63" s="32">
        <v>0</v>
      </c>
      <c r="O63" s="29"/>
      <c r="P63" s="29"/>
      <c r="Q63" s="33"/>
      <c r="V63" s="63">
        <f>SUM(X63:AB63)</f>
        <v>1.0193920361069027</v>
      </c>
      <c r="W63" s="47" t="s">
        <v>93</v>
      </c>
      <c r="X63" s="48">
        <f>X62/((1+$AA$59)^X61)</f>
        <v>0.22830188679245281</v>
      </c>
      <c r="Y63" s="48">
        <f>Y62/((1+$AA$59)^Y61)</f>
        <v>0.21537913848344603</v>
      </c>
      <c r="Z63" s="48">
        <f>Z62/((1+$AA$59)^Z61)</f>
        <v>0.20318786649381698</v>
      </c>
      <c r="AA63" s="48">
        <f>AA62/((1+$AA$59)^AA61)</f>
        <v>0.19168666650360094</v>
      </c>
      <c r="AB63" s="48">
        <f>AB62/((1+$AA$59)^AB61)</f>
        <v>0.18083647783358575</v>
      </c>
    </row>
    <row r="64" spans="3:28" ht="18" x14ac:dyDescent="0.35">
      <c r="C64" t="s">
        <v>64</v>
      </c>
      <c r="D64" s="9">
        <f>P41/P37</f>
        <v>0.25103734439834025</v>
      </c>
      <c r="E64" s="9">
        <f>Q41/Q37</f>
        <v>0.80065897858319601</v>
      </c>
      <c r="K64" s="9"/>
      <c r="L64" s="9"/>
      <c r="O64" t="s">
        <v>310</v>
      </c>
      <c r="Q64" s="11">
        <f>0.184</f>
        <v>0.184</v>
      </c>
      <c r="V64" s="48"/>
      <c r="W64" s="48"/>
      <c r="X64" s="48"/>
      <c r="Y64" s="48"/>
      <c r="Z64" s="48"/>
      <c r="AA64" s="48"/>
      <c r="AB64" s="48"/>
    </row>
    <row r="65" spans="3:28" ht="18" x14ac:dyDescent="0.35">
      <c r="C65" t="s">
        <v>65</v>
      </c>
      <c r="D65" s="9">
        <f>(D56*D64)/(1-(D56*D64))</f>
        <v>3.7207872078720783E-2</v>
      </c>
      <c r="E65" s="9">
        <f>(E56*E64)/(1-(E56*E64))</f>
        <v>0.14745145631067963</v>
      </c>
      <c r="H65" t="s">
        <v>68</v>
      </c>
      <c r="L65">
        <f>L69+(L68-L69)*L70</f>
        <v>0.17199999999999999</v>
      </c>
      <c r="O65" t="s">
        <v>309</v>
      </c>
      <c r="Q65" s="11">
        <f>0.08</f>
        <v>0.08</v>
      </c>
      <c r="V65" s="48"/>
      <c r="W65" s="47" t="s">
        <v>92</v>
      </c>
      <c r="X65" s="48">
        <v>6</v>
      </c>
      <c r="Y65" s="48">
        <v>7</v>
      </c>
      <c r="Z65" s="48">
        <v>8</v>
      </c>
      <c r="AA65" s="48">
        <v>9</v>
      </c>
      <c r="AB65" s="48">
        <v>10</v>
      </c>
    </row>
    <row r="66" spans="3:28" ht="18" x14ac:dyDescent="0.35">
      <c r="C66" t="s">
        <v>66</v>
      </c>
      <c r="D66" s="9">
        <f>(D57*D64)/(1-(D57*D64))</f>
        <v>5.5555555555555552E-2</v>
      </c>
      <c r="E66" s="9">
        <f>(E57*E64)/(1-(E57*E64))</f>
        <v>0.2113962592431492</v>
      </c>
      <c r="H66" t="s">
        <v>49</v>
      </c>
      <c r="K66" s="9"/>
      <c r="L66" s="9">
        <f>(L45*L65)+(L46*L63)+(L47*L62)*(1-Q51)</f>
        <v>0.15619904714439242</v>
      </c>
      <c r="O66" t="s">
        <v>308</v>
      </c>
      <c r="Q66" s="11">
        <v>0.12253</v>
      </c>
      <c r="V66" s="66" t="s">
        <v>97</v>
      </c>
      <c r="W66" s="47" t="s">
        <v>88</v>
      </c>
      <c r="X66" s="48">
        <f>$AB$43*((1+$Y$59)^(X65-$AB$61))</f>
        <v>0.26619999999999999</v>
      </c>
      <c r="Y66" s="48">
        <f t="shared" ref="Y66:AB66" si="15">$AB$43*((1+$Y$59)^(Y65-$AB$61))</f>
        <v>0.29282000000000002</v>
      </c>
      <c r="Z66" s="48">
        <f t="shared" si="15"/>
        <v>0.32210200000000011</v>
      </c>
      <c r="AA66" s="48">
        <f t="shared" si="15"/>
        <v>0.35431220000000008</v>
      </c>
      <c r="AB66" s="48">
        <f t="shared" si="15"/>
        <v>0.38974342000000012</v>
      </c>
    </row>
    <row r="67" spans="3:28" ht="18" x14ac:dyDescent="0.35">
      <c r="V67" s="63">
        <f>SUM(X67:AB67)</f>
        <v>1.0118408363648574</v>
      </c>
      <c r="W67" s="47" t="s">
        <v>93</v>
      </c>
      <c r="X67" s="48">
        <f>X66/((1+$AA$59)^X65)</f>
        <v>0.18766049586504183</v>
      </c>
      <c r="Y67" s="48">
        <f>Y66/((1+$AA$59)^Y65)</f>
        <v>0.19474202401089244</v>
      </c>
      <c r="Z67" s="48">
        <f>Z66/((1+$AA$59)^Z65)</f>
        <v>0.20209077963394506</v>
      </c>
      <c r="AA67" s="48">
        <f>AA66/((1+$AA$59)^AA65)</f>
        <v>0.20971684678994296</v>
      </c>
      <c r="AB67" s="48">
        <f>AB66/((1+$AA$59)^AB65)</f>
        <v>0.21763069006503516</v>
      </c>
    </row>
    <row r="68" spans="3:28" x14ac:dyDescent="0.25">
      <c r="C68" t="s">
        <v>106</v>
      </c>
      <c r="D68">
        <v>0.34</v>
      </c>
      <c r="E68">
        <v>0.34</v>
      </c>
      <c r="H68" t="s">
        <v>47</v>
      </c>
      <c r="L68" s="26">
        <v>0.15</v>
      </c>
      <c r="R68" s="34"/>
    </row>
    <row r="69" spans="3:28" ht="18" x14ac:dyDescent="0.35">
      <c r="H69" t="s">
        <v>48</v>
      </c>
      <c r="L69" s="9">
        <v>0.04</v>
      </c>
      <c r="V69" s="47" t="s">
        <v>94</v>
      </c>
      <c r="W69" s="65" t="s">
        <v>96</v>
      </c>
    </row>
    <row r="70" spans="3:28" x14ac:dyDescent="0.25">
      <c r="H70" t="s">
        <v>67</v>
      </c>
      <c r="L70" s="242">
        <v>1.2</v>
      </c>
      <c r="V70" s="63">
        <f>(AB66*(1+Z59))/(AA59-Z59)</f>
        <v>13.381190753333339</v>
      </c>
      <c r="W70">
        <f>V70/((1+AA59)^AB65)</f>
        <v>7.4719870255662082</v>
      </c>
    </row>
    <row r="72" spans="3:28" x14ac:dyDescent="0.25">
      <c r="H72" t="s">
        <v>107</v>
      </c>
      <c r="K72" s="3"/>
      <c r="L72" s="3">
        <f>E44-Q36</f>
        <v>6740</v>
      </c>
    </row>
    <row r="73" spans="3:28" ht="18" x14ac:dyDescent="0.35">
      <c r="H73" t="s">
        <v>105</v>
      </c>
      <c r="L73">
        <f>E44*(1-E68)</f>
        <v>5682.5999999999995</v>
      </c>
      <c r="V73" s="276" t="s">
        <v>102</v>
      </c>
      <c r="W73" s="277"/>
      <c r="X73" s="277"/>
      <c r="Y73" s="277"/>
      <c r="Z73" s="277"/>
      <c r="AA73" s="277"/>
      <c r="AB73" s="278"/>
    </row>
    <row r="74" spans="3:28" ht="18" x14ac:dyDescent="0.35">
      <c r="H74" t="s">
        <v>109</v>
      </c>
      <c r="K74" s="6"/>
      <c r="L74" s="6">
        <f>L21+L27</f>
        <v>34380</v>
      </c>
      <c r="W74" s="48"/>
      <c r="X74" s="47" t="s">
        <v>89</v>
      </c>
      <c r="Y74" s="47" t="s">
        <v>90</v>
      </c>
      <c r="Z74" s="47" t="s">
        <v>91</v>
      </c>
      <c r="AA74" s="47" t="s">
        <v>87</v>
      </c>
      <c r="AB74" s="48"/>
    </row>
    <row r="75" spans="3:28" ht="18" x14ac:dyDescent="0.35">
      <c r="H75" t="s">
        <v>110</v>
      </c>
      <c r="K75" s="6"/>
      <c r="L75" s="6">
        <f>(E21) + (E12-L13)</f>
        <v>32530</v>
      </c>
      <c r="V75" s="47" t="s">
        <v>95</v>
      </c>
      <c r="W75" s="48"/>
      <c r="X75" s="48">
        <v>0.2</v>
      </c>
      <c r="Y75" s="48">
        <v>0.2</v>
      </c>
      <c r="Z75" s="48">
        <v>0.06</v>
      </c>
      <c r="AA75" s="48">
        <v>0.12379999999999999</v>
      </c>
      <c r="AB75" s="48"/>
    </row>
    <row r="76" spans="3:28" x14ac:dyDescent="0.25">
      <c r="H76" t="s">
        <v>111</v>
      </c>
      <c r="K76" s="9"/>
      <c r="L76" s="9">
        <f>(L73/L75)</f>
        <v>0.17468798032585303</v>
      </c>
      <c r="V76" s="63">
        <f>V79+V83+W86</f>
        <v>28.822447166168601</v>
      </c>
      <c r="W76" s="48"/>
      <c r="X76" s="48"/>
      <c r="Y76" s="48"/>
      <c r="Z76" s="48"/>
      <c r="AA76" s="48"/>
      <c r="AB76" s="48"/>
    </row>
    <row r="77" spans="3:28" x14ac:dyDescent="0.25">
      <c r="H77" t="s">
        <v>112</v>
      </c>
      <c r="K77" s="9"/>
      <c r="L77" s="9">
        <f>Q37/L74</f>
        <v>0.17655613728912159</v>
      </c>
      <c r="W77" s="47" t="s">
        <v>92</v>
      </c>
      <c r="X77" s="64">
        <v>1</v>
      </c>
      <c r="Y77" s="64">
        <v>2</v>
      </c>
      <c r="Z77" s="64">
        <v>3</v>
      </c>
      <c r="AA77" s="64">
        <v>4</v>
      </c>
      <c r="AB77" s="64">
        <v>5</v>
      </c>
    </row>
    <row r="78" spans="3:28" ht="18" x14ac:dyDescent="0.35">
      <c r="V78" s="67" t="s">
        <v>98</v>
      </c>
      <c r="W78" s="47" t="s">
        <v>53</v>
      </c>
      <c r="X78" s="48">
        <f>$AB$41*((1+$X$75)^X77)</f>
        <v>1.4567999999999999</v>
      </c>
      <c r="Y78" s="48">
        <f>$AB$41*((1+$X$75)^Y77)</f>
        <v>1.7481599999999999</v>
      </c>
      <c r="Z78" s="48">
        <f>$AB$41*((1+$X$75)^Z77)</f>
        <v>2.0977920000000001</v>
      </c>
      <c r="AA78" s="48">
        <f t="shared" ref="AA78:AB78" si="16">$AB$41*((1+$X$75)^AA77)</f>
        <v>2.5173503999999998</v>
      </c>
      <c r="AB78" s="48">
        <f t="shared" si="16"/>
        <v>3.0208204799999998</v>
      </c>
    </row>
    <row r="79" spans="3:28" ht="18" x14ac:dyDescent="0.35">
      <c r="V79" s="63">
        <f>SUM(X79:AB79)</f>
        <v>7.4222035296542046</v>
      </c>
      <c r="W79" s="47" t="s">
        <v>99</v>
      </c>
      <c r="X79" s="48">
        <f>X78/((1+$AA$75)^X77)</f>
        <v>1.2963160704751735</v>
      </c>
      <c r="Y79" s="48">
        <f t="shared" ref="Y79:AB79" si="17">Y78/((1+$AA$75)^Y77)</f>
        <v>1.3842136363856634</v>
      </c>
      <c r="Z79" s="48">
        <f t="shared" si="17"/>
        <v>1.4780711547097316</v>
      </c>
      <c r="AA79" s="48">
        <f t="shared" si="17"/>
        <v>1.5782927439505943</v>
      </c>
      <c r="AB79" s="48">
        <f t="shared" si="17"/>
        <v>1.6853099241330427</v>
      </c>
    </row>
    <row r="80" spans="3:28" x14ac:dyDescent="0.25">
      <c r="V80" s="48"/>
      <c r="W80" s="48"/>
      <c r="X80" s="48"/>
      <c r="Y80" s="48"/>
      <c r="Z80" s="48"/>
      <c r="AA80" s="48"/>
      <c r="AB80" s="48"/>
    </row>
    <row r="81" spans="8:28" x14ac:dyDescent="0.25">
      <c r="H81" t="s">
        <v>113</v>
      </c>
      <c r="L81" s="6">
        <f>L75-K75</f>
        <v>32530</v>
      </c>
      <c r="V81" s="48"/>
      <c r="W81" s="47" t="s">
        <v>92</v>
      </c>
      <c r="X81" s="48">
        <v>6</v>
      </c>
      <c r="Y81" s="48">
        <v>7</v>
      </c>
      <c r="Z81" s="48">
        <v>8</v>
      </c>
      <c r="AA81" s="48">
        <v>9</v>
      </c>
      <c r="AB81" s="48">
        <v>10</v>
      </c>
    </row>
    <row r="82" spans="8:28" ht="91.5" x14ac:dyDescent="0.35">
      <c r="H82" s="29" t="s">
        <v>104</v>
      </c>
      <c r="I82" s="29"/>
      <c r="J82" s="29"/>
      <c r="K82" s="35"/>
      <c r="L82" s="35">
        <f>L73+Q23-L81</f>
        <v>-24087.4</v>
      </c>
      <c r="V82" s="66" t="s">
        <v>97</v>
      </c>
      <c r="W82" s="47" t="s">
        <v>53</v>
      </c>
      <c r="X82" s="48">
        <f>$AB$41*((1+$Y$59)^(X81))</f>
        <v>2.150675054000001</v>
      </c>
      <c r="Y82" s="48">
        <f t="shared" ref="Y82:AA82" si="18">$AB$41*((1+$Y$59)^(Y81))</f>
        <v>2.3657425594000014</v>
      </c>
      <c r="Z82" s="48">
        <f t="shared" si="18"/>
        <v>2.6023168153400014</v>
      </c>
      <c r="AA82" s="48">
        <f t="shared" si="18"/>
        <v>2.8625484968740018</v>
      </c>
      <c r="AB82" s="48">
        <f>$AB$41*((1+$Y$59)^(AB81))</f>
        <v>3.1488033465614023</v>
      </c>
    </row>
    <row r="83" spans="8:28" ht="18" x14ac:dyDescent="0.35">
      <c r="V83" s="63">
        <f>SUM(X83:AB83)</f>
        <v>5.1170177621505486</v>
      </c>
      <c r="W83" s="47" t="s">
        <v>99</v>
      </c>
      <c r="X83" s="48">
        <f>X82/((1+$AA$75)^X81)</f>
        <v>1.0676788288777532</v>
      </c>
      <c r="Y83" s="48">
        <f t="shared" ref="Y83:AB83" si="19">Y82/((1+$AA$75)^Y81)</f>
        <v>1.0450673712097602</v>
      </c>
      <c r="Z83" s="48">
        <f t="shared" si="19"/>
        <v>1.0229347822839798</v>
      </c>
      <c r="AA83" s="48">
        <f t="shared" si="19"/>
        <v>1.0012709205484767</v>
      </c>
      <c r="AB83" s="48">
        <f t="shared" si="19"/>
        <v>0.98006585923057865</v>
      </c>
    </row>
    <row r="85" spans="8:28" ht="18" x14ac:dyDescent="0.35">
      <c r="V85" s="47" t="s">
        <v>100</v>
      </c>
      <c r="W85" s="65" t="s">
        <v>96</v>
      </c>
    </row>
    <row r="86" spans="8:28" x14ac:dyDescent="0.25">
      <c r="V86" s="63">
        <f>(AB82*(1+Z75))/(AA75-Z75)</f>
        <v>52.31554149459383</v>
      </c>
      <c r="W86">
        <f>V86/((1+AA75)^AB81)</f>
        <v>16.283225874363847</v>
      </c>
    </row>
  </sheetData>
  <mergeCells count="10">
    <mergeCell ref="V57:AB57"/>
    <mergeCell ref="V73:AB73"/>
    <mergeCell ref="U35:AB35"/>
    <mergeCell ref="B2:L2"/>
    <mergeCell ref="B3:L3"/>
    <mergeCell ref="B4:L4"/>
    <mergeCell ref="N2:Q2"/>
    <mergeCell ref="N3:Q3"/>
    <mergeCell ref="N4:Q4"/>
    <mergeCell ref="B31:L31"/>
  </mergeCells>
  <pageMargins left="0.7" right="0.7" top="0.75" bottom="0.75" header="0.3" footer="0.3"/>
  <pageSetup scale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74"/>
  <sheetViews>
    <sheetView topLeftCell="A40" workbookViewId="0">
      <selection activeCell="K53" sqref="K53:M53"/>
    </sheetView>
  </sheetViews>
  <sheetFormatPr defaultRowHeight="15" x14ac:dyDescent="0.25"/>
  <cols>
    <col min="1" max="1" width="12.42578125" bestFit="1" customWidth="1"/>
    <col min="2" max="3" width="10.5703125" bestFit="1" customWidth="1"/>
    <col min="5" max="5" width="11.140625" bestFit="1" customWidth="1"/>
    <col min="6" max="6" width="14.140625" customWidth="1"/>
    <col min="7" max="7" width="10.5703125" bestFit="1" customWidth="1"/>
    <col min="8" max="8" width="10.5703125" customWidth="1"/>
    <col min="9" max="9" width="10.42578125" customWidth="1"/>
    <col min="10" max="10" width="10.5703125" bestFit="1" customWidth="1"/>
    <col min="11" max="11" width="11.5703125" bestFit="1" customWidth="1"/>
    <col min="12" max="12" width="10.7109375" customWidth="1"/>
    <col min="13" max="13" width="11.5703125" customWidth="1"/>
    <col min="14" max="14" width="9.5703125" bestFit="1" customWidth="1"/>
  </cols>
  <sheetData>
    <row r="3" spans="1:13" x14ac:dyDescent="0.25">
      <c r="G3" s="288" t="s">
        <v>253</v>
      </c>
      <c r="H3" s="288"/>
      <c r="I3" s="288"/>
      <c r="J3" s="288"/>
      <c r="K3" s="288"/>
      <c r="L3" s="288"/>
      <c r="M3" s="288"/>
    </row>
    <row r="4" spans="1:13" x14ac:dyDescent="0.25">
      <c r="B4" s="285" t="s">
        <v>252</v>
      </c>
      <c r="C4" s="285"/>
      <c r="D4" s="285"/>
      <c r="E4" s="157"/>
      <c r="G4" s="285">
        <f>C5+1</f>
        <v>2018</v>
      </c>
      <c r="H4" s="285"/>
      <c r="I4" s="285"/>
      <c r="J4" s="285"/>
      <c r="K4" s="285"/>
      <c r="L4" s="285"/>
      <c r="M4" s="285"/>
    </row>
    <row r="5" spans="1:13" ht="45" x14ac:dyDescent="0.25">
      <c r="A5" s="211" t="s">
        <v>256</v>
      </c>
      <c r="B5" s="2">
        <f>'Financial Stmt'!D6</f>
        <v>2016</v>
      </c>
      <c r="C5" s="2">
        <f>'Financial Stmt'!E6</f>
        <v>2017</v>
      </c>
      <c r="D5" s="2" t="s">
        <v>251</v>
      </c>
      <c r="E5" s="2"/>
      <c r="F5" s="212" t="s">
        <v>258</v>
      </c>
      <c r="G5" s="181" t="s">
        <v>257</v>
      </c>
      <c r="H5" s="181" t="s">
        <v>261</v>
      </c>
      <c r="I5" s="181" t="s">
        <v>259</v>
      </c>
      <c r="J5" s="181" t="s">
        <v>254</v>
      </c>
      <c r="K5" s="181" t="s">
        <v>255</v>
      </c>
      <c r="L5" s="181" t="s">
        <v>262</v>
      </c>
      <c r="M5" s="181" t="s">
        <v>263</v>
      </c>
    </row>
    <row r="6" spans="1:13" x14ac:dyDescent="0.25">
      <c r="A6" s="16" t="str">
        <f>'Financial Stmt'!O8</f>
        <v>Renewables</v>
      </c>
      <c r="B6" s="5">
        <v>1130</v>
      </c>
      <c r="C6" s="5">
        <v>2350</v>
      </c>
      <c r="D6" s="11">
        <f>(C6-B6)/B6</f>
        <v>1.0796460176991149</v>
      </c>
      <c r="E6" s="94"/>
      <c r="F6" s="205" t="str">
        <f>$A$6</f>
        <v>Renewables</v>
      </c>
      <c r="G6" s="11">
        <v>0.18</v>
      </c>
      <c r="H6" s="11">
        <v>0.05</v>
      </c>
      <c r="I6" s="11">
        <v>0.02</v>
      </c>
      <c r="J6" s="11">
        <f>SUM(G6:I6)</f>
        <v>0.24999999999999997</v>
      </c>
      <c r="K6" s="94">
        <f t="shared" ref="K6:K11" si="0">C6*(1+J6)</f>
        <v>2937.5</v>
      </c>
      <c r="L6" s="210">
        <f t="shared" ref="L6:L10" si="1">K6/$K$13</f>
        <v>0.10104502050138971</v>
      </c>
      <c r="M6" s="11">
        <f>L6*J6</f>
        <v>2.5261255125347423E-2</v>
      </c>
    </row>
    <row r="7" spans="1:13" x14ac:dyDescent="0.25">
      <c r="A7" s="16" t="str">
        <f>'Financial Stmt'!O9</f>
        <v>Batteries</v>
      </c>
      <c r="B7" s="5">
        <v>4150</v>
      </c>
      <c r="C7" s="5">
        <v>5750</v>
      </c>
      <c r="D7" s="11">
        <f t="shared" ref="D7:D11" si="2">(C7-B7)/B7</f>
        <v>0.38554216867469882</v>
      </c>
      <c r="E7" s="11"/>
      <c r="F7" s="205" t="str">
        <f>$A$7</f>
        <v>Batteries</v>
      </c>
      <c r="G7" s="11">
        <v>0.15</v>
      </c>
      <c r="H7" s="11">
        <v>0.05</v>
      </c>
      <c r="I7" s="11">
        <v>0.02</v>
      </c>
      <c r="J7" s="11">
        <f t="shared" ref="J7:J11" si="3">SUM(G7:I7)</f>
        <v>0.22</v>
      </c>
      <c r="K7" s="94">
        <f t="shared" si="0"/>
        <v>7015</v>
      </c>
      <c r="L7" s="210">
        <f t="shared" si="1"/>
        <v>0.24130410853353149</v>
      </c>
      <c r="M7" s="11">
        <f>L7*J7</f>
        <v>5.3086903877376926E-2</v>
      </c>
    </row>
    <row r="8" spans="1:13" x14ac:dyDescent="0.25">
      <c r="A8" s="16" t="str">
        <f>'Financial Stmt'!O10</f>
        <v>Systems</v>
      </c>
      <c r="B8" s="5">
        <v>10970</v>
      </c>
      <c r="C8" s="5">
        <v>9590</v>
      </c>
      <c r="D8" s="11">
        <f t="shared" si="2"/>
        <v>-0.12579762989972654</v>
      </c>
      <c r="E8" s="11"/>
      <c r="F8" s="205" t="str">
        <f>$A$8</f>
        <v>Systems</v>
      </c>
      <c r="G8" s="11">
        <v>0.12</v>
      </c>
      <c r="H8" s="11">
        <v>0.05</v>
      </c>
      <c r="I8" s="11">
        <v>0.02</v>
      </c>
      <c r="J8" s="11">
        <f t="shared" si="3"/>
        <v>0.18999999999999997</v>
      </c>
      <c r="K8" s="94">
        <f t="shared" si="0"/>
        <v>11412.1</v>
      </c>
      <c r="L8" s="210">
        <f t="shared" si="1"/>
        <v>0.39255689479622452</v>
      </c>
      <c r="M8" s="11">
        <f>L8*J8</f>
        <v>7.4585810011282644E-2</v>
      </c>
    </row>
    <row r="9" spans="1:13" x14ac:dyDescent="0.25">
      <c r="A9" s="16" t="str">
        <f>'Financial Stmt'!O11</f>
        <v>Services</v>
      </c>
      <c r="B9" s="5">
        <v>5340</v>
      </c>
      <c r="C9" s="5">
        <v>6170</v>
      </c>
      <c r="D9" s="11">
        <f t="shared" si="2"/>
        <v>0.15543071161048688</v>
      </c>
      <c r="E9" s="11"/>
      <c r="F9" s="205" t="str">
        <f>$A$9</f>
        <v>Services</v>
      </c>
      <c r="G9" s="11">
        <v>0.08</v>
      </c>
      <c r="H9" s="11">
        <v>0</v>
      </c>
      <c r="I9" s="11">
        <v>0</v>
      </c>
      <c r="J9" s="11">
        <f t="shared" si="3"/>
        <v>0.08</v>
      </c>
      <c r="K9" s="94">
        <f t="shared" si="0"/>
        <v>6663.6</v>
      </c>
      <c r="L9" s="210">
        <f t="shared" si="1"/>
        <v>0.22921654420870144</v>
      </c>
      <c r="M9" s="11">
        <f t="shared" ref="M9:M11" si="4">L9*J9</f>
        <v>1.8337323536696117E-2</v>
      </c>
    </row>
    <row r="10" spans="1:13" x14ac:dyDescent="0.25">
      <c r="A10" s="16" t="str">
        <f>'Financial Stmt'!O12</f>
        <v>Interest</v>
      </c>
      <c r="B10" s="5">
        <v>340</v>
      </c>
      <c r="C10" s="5">
        <v>650</v>
      </c>
      <c r="D10" s="11">
        <f t="shared" si="2"/>
        <v>0.91176470588235292</v>
      </c>
      <c r="E10" s="11"/>
      <c r="F10" s="205" t="str">
        <f>$A$10</f>
        <v>Interest</v>
      </c>
      <c r="G10" s="11">
        <v>0.12</v>
      </c>
      <c r="H10" s="11">
        <v>0</v>
      </c>
      <c r="I10" s="11">
        <v>0</v>
      </c>
      <c r="J10" s="11">
        <f t="shared" si="3"/>
        <v>0.12</v>
      </c>
      <c r="K10" s="94">
        <f t="shared" si="0"/>
        <v>728.00000000000011</v>
      </c>
      <c r="L10" s="210">
        <f t="shared" si="1"/>
        <v>2.5041965931918882E-2</v>
      </c>
      <c r="M10" s="11">
        <f t="shared" si="4"/>
        <v>3.0050359118302659E-3</v>
      </c>
    </row>
    <row r="11" spans="1:13" x14ac:dyDescent="0.25">
      <c r="A11" s="16" t="str">
        <f>'Financial Stmt'!O13</f>
        <v>Consulting</v>
      </c>
      <c r="B11" s="206">
        <v>290</v>
      </c>
      <c r="C11" s="4">
        <v>300</v>
      </c>
      <c r="D11" s="11">
        <f t="shared" si="2"/>
        <v>3.4482758620689655E-2</v>
      </c>
      <c r="E11" s="11"/>
      <c r="F11" s="205" t="str">
        <f>$A$11</f>
        <v>Consulting</v>
      </c>
      <c r="G11" s="11">
        <v>0.05</v>
      </c>
      <c r="H11" s="11">
        <v>0</v>
      </c>
      <c r="I11" s="11">
        <v>0</v>
      </c>
      <c r="J11" s="11">
        <f t="shared" si="3"/>
        <v>0.05</v>
      </c>
      <c r="K11" s="207">
        <f t="shared" si="0"/>
        <v>315</v>
      </c>
      <c r="L11" s="210">
        <f>K11/$K$13</f>
        <v>1.0835466028234131E-2</v>
      </c>
      <c r="M11" s="210">
        <f t="shared" si="4"/>
        <v>5.4177330141170653E-4</v>
      </c>
    </row>
    <row r="12" spans="1:13" x14ac:dyDescent="0.25">
      <c r="A12" s="16"/>
      <c r="B12" s="95"/>
      <c r="C12" s="5"/>
      <c r="D12" s="11"/>
      <c r="E12" s="11"/>
      <c r="F12" s="205" t="s">
        <v>260</v>
      </c>
      <c r="G12" s="11"/>
      <c r="H12" s="11"/>
      <c r="I12" s="11"/>
      <c r="J12" s="11"/>
      <c r="K12" s="208">
        <v>0</v>
      </c>
      <c r="L12" s="11"/>
      <c r="M12" s="208">
        <v>0</v>
      </c>
    </row>
    <row r="13" spans="1:13" x14ac:dyDescent="0.25">
      <c r="A13" s="16" t="str">
        <f>'Financial Stmt'!O14</f>
        <v>Total Income</v>
      </c>
      <c r="B13" s="3">
        <f>'Financial Stmt'!P14</f>
        <v>22220</v>
      </c>
      <c r="C13" s="3">
        <f>'Financial Stmt'!Q14</f>
        <v>24810</v>
      </c>
      <c r="G13" s="11"/>
      <c r="H13" s="11"/>
      <c r="I13" s="11"/>
      <c r="J13" s="11"/>
      <c r="K13" s="94">
        <f>SUM(K6:K12)</f>
        <v>29071.199999999997</v>
      </c>
      <c r="L13" s="11"/>
      <c r="M13" s="11">
        <f>SUM(M6:M12)</f>
        <v>0.17481810176394508</v>
      </c>
    </row>
    <row r="14" spans="1:13" x14ac:dyDescent="0.25">
      <c r="A14" s="16"/>
      <c r="B14" s="3"/>
      <c r="C14" s="3"/>
      <c r="G14" s="11"/>
      <c r="H14" s="11"/>
      <c r="I14" s="11"/>
      <c r="J14" s="11"/>
      <c r="K14" s="94"/>
      <c r="L14" s="11"/>
      <c r="M14" s="11"/>
    </row>
    <row r="15" spans="1:13" x14ac:dyDescent="0.25">
      <c r="A15" s="16" t="s">
        <v>260</v>
      </c>
      <c r="B15" s="3"/>
      <c r="C15" s="11">
        <v>0.05</v>
      </c>
      <c r="G15" s="285">
        <f>G4+1</f>
        <v>2019</v>
      </c>
      <c r="H15" s="285"/>
      <c r="I15" s="285"/>
      <c r="J15" s="285"/>
      <c r="K15" s="285"/>
      <c r="L15" s="285"/>
      <c r="M15" s="285"/>
    </row>
    <row r="16" spans="1:13" x14ac:dyDescent="0.25">
      <c r="F16" s="205" t="str">
        <f>$A$6</f>
        <v>Renewables</v>
      </c>
      <c r="G16" s="11">
        <v>0.2</v>
      </c>
      <c r="H16" s="11">
        <v>0.05</v>
      </c>
      <c r="I16" s="11">
        <v>0.02</v>
      </c>
      <c r="J16" s="11">
        <f t="shared" ref="J16:J22" si="5">SUM(G16:I16)</f>
        <v>0.27</v>
      </c>
      <c r="K16" s="94">
        <f t="shared" ref="K16:K21" si="6">K6*(1+J16)</f>
        <v>3730.625</v>
      </c>
      <c r="L16" s="210">
        <f t="shared" ref="L16:L21" si="7">K16/$K$23</f>
        <v>0.10314088799932873</v>
      </c>
      <c r="M16" s="11">
        <f>L16*J16</f>
        <v>2.7848039759818758E-2</v>
      </c>
    </row>
    <row r="17" spans="3:13" x14ac:dyDescent="0.25">
      <c r="F17" s="205" t="str">
        <f>$A$7</f>
        <v>Batteries</v>
      </c>
      <c r="G17" s="11">
        <v>0.17</v>
      </c>
      <c r="H17" s="11">
        <v>0.05</v>
      </c>
      <c r="I17" s="11">
        <v>0.02</v>
      </c>
      <c r="J17" s="11">
        <f t="shared" si="5"/>
        <v>0.24000000000000002</v>
      </c>
      <c r="K17" s="94">
        <f t="shared" si="6"/>
        <v>8698.6</v>
      </c>
      <c r="L17" s="210">
        <f t="shared" si="7"/>
        <v>0.24049089049447772</v>
      </c>
      <c r="M17" s="11">
        <f>L17*J17</f>
        <v>5.7717813718674654E-2</v>
      </c>
    </row>
    <row r="18" spans="3:13" x14ac:dyDescent="0.25">
      <c r="F18" s="205" t="str">
        <f>$A$8</f>
        <v>Systems</v>
      </c>
      <c r="G18" s="11">
        <v>0.15</v>
      </c>
      <c r="H18" s="11">
        <v>0.05</v>
      </c>
      <c r="I18" s="11">
        <v>0.02</v>
      </c>
      <c r="J18" s="11">
        <f t="shared" si="5"/>
        <v>0.22</v>
      </c>
      <c r="K18" s="94">
        <f t="shared" si="6"/>
        <v>13922.762000000001</v>
      </c>
      <c r="L18" s="210">
        <f t="shared" si="7"/>
        <v>0.38492371548555809</v>
      </c>
      <c r="M18" s="11">
        <f>L18*J18</f>
        <v>8.4683217406822775E-2</v>
      </c>
    </row>
    <row r="19" spans="3:13" x14ac:dyDescent="0.25">
      <c r="F19" s="205" t="str">
        <f>$A$9</f>
        <v>Services</v>
      </c>
      <c r="G19" s="11">
        <v>0.08</v>
      </c>
      <c r="H19" s="11">
        <v>0</v>
      </c>
      <c r="I19" s="11">
        <v>0</v>
      </c>
      <c r="J19" s="11">
        <f t="shared" si="5"/>
        <v>0.08</v>
      </c>
      <c r="K19" s="94">
        <f t="shared" si="6"/>
        <v>7196.688000000001</v>
      </c>
      <c r="L19" s="210">
        <f t="shared" si="7"/>
        <v>0.19896740920733474</v>
      </c>
      <c r="M19" s="11">
        <f t="shared" ref="M19:M22" si="8">L19*J19</f>
        <v>1.591739273658678E-2</v>
      </c>
    </row>
    <row r="20" spans="3:13" x14ac:dyDescent="0.25">
      <c r="F20" s="205" t="str">
        <f>$A$10</f>
        <v>Interest</v>
      </c>
      <c r="G20" s="11">
        <v>0.15</v>
      </c>
      <c r="H20" s="11">
        <v>0</v>
      </c>
      <c r="I20" s="11">
        <v>0</v>
      </c>
      <c r="J20" s="11">
        <f t="shared" si="5"/>
        <v>0.15</v>
      </c>
      <c r="K20" s="94">
        <f t="shared" si="6"/>
        <v>837.2</v>
      </c>
      <c r="L20" s="210">
        <f t="shared" si="7"/>
        <v>2.3146135415121602E-2</v>
      </c>
      <c r="M20" s="11">
        <f t="shared" si="8"/>
        <v>3.4719203122682402E-3</v>
      </c>
    </row>
    <row r="21" spans="3:13" x14ac:dyDescent="0.25">
      <c r="F21" s="205" t="str">
        <f>$A$11</f>
        <v>Consulting</v>
      </c>
      <c r="G21" s="11">
        <v>0.05</v>
      </c>
      <c r="H21" s="11">
        <v>0</v>
      </c>
      <c r="I21" s="11">
        <v>0</v>
      </c>
      <c r="J21" s="11">
        <f t="shared" si="5"/>
        <v>0.05</v>
      </c>
      <c r="K21" s="207">
        <f t="shared" si="6"/>
        <v>330.75</v>
      </c>
      <c r="L21" s="210">
        <f t="shared" si="7"/>
        <v>9.1442717254556494E-3</v>
      </c>
      <c r="M21" s="210">
        <f t="shared" si="8"/>
        <v>4.5721358627278248E-4</v>
      </c>
    </row>
    <row r="22" spans="3:13" x14ac:dyDescent="0.25">
      <c r="F22" s="205" t="str">
        <f>$F$12</f>
        <v>New Product</v>
      </c>
      <c r="G22" s="11">
        <v>0.05</v>
      </c>
      <c r="H22" s="11">
        <v>0</v>
      </c>
      <c r="I22" s="11">
        <v>0</v>
      </c>
      <c r="J22" s="11">
        <f t="shared" si="5"/>
        <v>0.05</v>
      </c>
      <c r="K22" s="208">
        <f>K13*J22</f>
        <v>1453.56</v>
      </c>
      <c r="L22" s="210">
        <f>K22/$K$23</f>
        <v>4.0186689672723541E-2</v>
      </c>
      <c r="M22" s="210">
        <f t="shared" si="8"/>
        <v>2.0093344836361773E-3</v>
      </c>
    </row>
    <row r="23" spans="3:13" x14ac:dyDescent="0.25">
      <c r="F23" s="205"/>
      <c r="K23" s="94">
        <f>SUM(K16:K22)</f>
        <v>36170.184999999998</v>
      </c>
      <c r="L23" s="11"/>
      <c r="M23" s="11">
        <f>SUM(M16:M22)</f>
        <v>0.19210493200408019</v>
      </c>
    </row>
    <row r="24" spans="3:13" x14ac:dyDescent="0.25">
      <c r="F24" s="205"/>
    </row>
    <row r="25" spans="3:13" x14ac:dyDescent="0.25">
      <c r="F25" s="205"/>
      <c r="G25" s="286">
        <f>G15+1</f>
        <v>2020</v>
      </c>
      <c r="H25" s="286"/>
      <c r="I25" s="286"/>
      <c r="J25" s="286"/>
      <c r="K25" s="286"/>
      <c r="L25" s="286"/>
      <c r="M25" s="286"/>
    </row>
    <row r="26" spans="3:13" x14ac:dyDescent="0.25">
      <c r="F26" s="205" t="str">
        <f>$A$6</f>
        <v>Renewables</v>
      </c>
      <c r="G26" s="11">
        <v>0.23</v>
      </c>
      <c r="H26" s="11">
        <v>0.05</v>
      </c>
      <c r="I26" s="11">
        <v>0.02</v>
      </c>
      <c r="J26" s="11">
        <f t="shared" ref="J26:J32" si="9">SUM(G26:I26)</f>
        <v>0.30000000000000004</v>
      </c>
      <c r="K26" s="94">
        <f t="shared" ref="K26:K32" si="10">K16*(1+J26)</f>
        <v>4849.8125</v>
      </c>
      <c r="L26" s="11">
        <f>K26/K$33</f>
        <v>0.110649669649644</v>
      </c>
      <c r="M26" s="11">
        <f>L26*J26</f>
        <v>3.3194900894893208E-2</v>
      </c>
    </row>
    <row r="27" spans="3:13" x14ac:dyDescent="0.25">
      <c r="F27" s="205" t="str">
        <f>$A$7</f>
        <v>Batteries</v>
      </c>
      <c r="G27" s="11">
        <v>0.2</v>
      </c>
      <c r="H27" s="11">
        <v>0.05</v>
      </c>
      <c r="I27" s="11">
        <v>0.02</v>
      </c>
      <c r="J27" s="11">
        <f t="shared" si="9"/>
        <v>0.27</v>
      </c>
      <c r="K27" s="94">
        <f t="shared" si="10"/>
        <v>11047.222</v>
      </c>
      <c r="L27" s="11">
        <f t="shared" ref="L27:L32" si="11">K27/K$33</f>
        <v>0.25204509758805715</v>
      </c>
      <c r="M27" s="11">
        <f>L27*J27</f>
        <v>6.8052176348775431E-2</v>
      </c>
    </row>
    <row r="28" spans="3:13" x14ac:dyDescent="0.25">
      <c r="F28" s="205" t="str">
        <f>$A$8</f>
        <v>Systems</v>
      </c>
      <c r="G28" s="11">
        <v>0.17</v>
      </c>
      <c r="H28" s="11">
        <v>0.05</v>
      </c>
      <c r="I28" s="11">
        <v>0.02</v>
      </c>
      <c r="J28" s="11">
        <f t="shared" si="9"/>
        <v>0.24000000000000002</v>
      </c>
      <c r="K28" s="94">
        <f t="shared" si="10"/>
        <v>17264.224880000002</v>
      </c>
      <c r="L28" s="11">
        <f t="shared" si="11"/>
        <v>0.39388755332895137</v>
      </c>
      <c r="M28" s="11">
        <f>L28*J28</f>
        <v>9.4533012798948338E-2</v>
      </c>
    </row>
    <row r="29" spans="3:13" x14ac:dyDescent="0.25">
      <c r="F29" s="205" t="str">
        <f>$A$9</f>
        <v>Services</v>
      </c>
      <c r="G29" s="11">
        <v>0.08</v>
      </c>
      <c r="H29" s="11">
        <v>0</v>
      </c>
      <c r="I29" s="11">
        <v>0</v>
      </c>
      <c r="J29" s="11">
        <f t="shared" si="9"/>
        <v>0.08</v>
      </c>
      <c r="K29" s="94">
        <f t="shared" si="10"/>
        <v>7772.4230400000015</v>
      </c>
      <c r="L29" s="11">
        <f t="shared" si="11"/>
        <v>0.17732975073846297</v>
      </c>
      <c r="M29" s="11">
        <f t="shared" ref="M29:M32" si="12">L29*J29</f>
        <v>1.4186380059077037E-2</v>
      </c>
    </row>
    <row r="30" spans="3:13" x14ac:dyDescent="0.25">
      <c r="F30" s="205" t="str">
        <f>$A$10</f>
        <v>Interest</v>
      </c>
      <c r="G30" s="11">
        <v>0.17</v>
      </c>
      <c r="H30" s="11">
        <v>0</v>
      </c>
      <c r="I30" s="11">
        <v>0</v>
      </c>
      <c r="J30" s="11">
        <f t="shared" si="9"/>
        <v>0.17</v>
      </c>
      <c r="K30" s="94">
        <f t="shared" si="10"/>
        <v>979.524</v>
      </c>
      <c r="L30" s="11">
        <f t="shared" si="11"/>
        <v>2.2348081913248788E-2</v>
      </c>
      <c r="M30" s="11">
        <f t="shared" si="12"/>
        <v>3.7991739252522944E-3</v>
      </c>
    </row>
    <row r="31" spans="3:13" x14ac:dyDescent="0.25">
      <c r="C31" s="287"/>
      <c r="D31" s="287"/>
      <c r="E31" s="150"/>
      <c r="F31" s="205" t="str">
        <f>$A$11</f>
        <v>Consulting</v>
      </c>
      <c r="G31" s="11">
        <v>0.05</v>
      </c>
      <c r="H31" s="11">
        <v>0</v>
      </c>
      <c r="I31" s="11">
        <v>0</v>
      </c>
      <c r="J31" s="11">
        <f t="shared" si="9"/>
        <v>0.05</v>
      </c>
      <c r="K31" s="207">
        <f t="shared" si="10"/>
        <v>347.28750000000002</v>
      </c>
      <c r="L31" s="210">
        <f t="shared" si="11"/>
        <v>7.9234500608942604E-3</v>
      </c>
      <c r="M31" s="210">
        <f t="shared" si="12"/>
        <v>3.9617250304471306E-4</v>
      </c>
    </row>
    <row r="32" spans="3:13" x14ac:dyDescent="0.25">
      <c r="C32" s="150"/>
      <c r="D32" s="150"/>
      <c r="E32" s="150"/>
      <c r="F32" s="205" t="str">
        <f>$F$12</f>
        <v>New Product</v>
      </c>
      <c r="G32" s="11">
        <v>0.08</v>
      </c>
      <c r="H32" s="11">
        <v>0</v>
      </c>
      <c r="I32" s="11">
        <v>0</v>
      </c>
      <c r="J32" s="11">
        <f t="shared" si="9"/>
        <v>0.08</v>
      </c>
      <c r="K32" s="208">
        <f t="shared" si="10"/>
        <v>1569.8448000000001</v>
      </c>
      <c r="L32" s="210">
        <f t="shared" si="11"/>
        <v>3.5816396720741564E-2</v>
      </c>
      <c r="M32" s="209">
        <f t="shared" si="12"/>
        <v>2.8653117376593253E-3</v>
      </c>
    </row>
    <row r="33" spans="3:13" x14ac:dyDescent="0.25">
      <c r="C33" s="187"/>
      <c r="D33" s="188"/>
      <c r="E33" s="188"/>
      <c r="K33" s="94">
        <f>SUM(K26:K32)</f>
        <v>43830.33872</v>
      </c>
      <c r="L33" s="11"/>
      <c r="M33" s="11">
        <f>SUM(M26:M32)</f>
        <v>0.21702712826765036</v>
      </c>
    </row>
    <row r="34" spans="3:13" x14ac:dyDescent="0.25">
      <c r="C34" s="189"/>
      <c r="D34" s="188"/>
      <c r="E34" s="188"/>
      <c r="F34" s="205"/>
    </row>
    <row r="35" spans="3:13" x14ac:dyDescent="0.25">
      <c r="C35" s="189"/>
      <c r="D35" s="188"/>
      <c r="E35" s="188"/>
      <c r="F35" s="205"/>
      <c r="G35" s="285">
        <v>2021</v>
      </c>
      <c r="H35" s="285"/>
      <c r="I35" s="285"/>
      <c r="J35" s="285"/>
      <c r="K35" s="285"/>
      <c r="L35" s="285"/>
      <c r="M35" s="285"/>
    </row>
    <row r="36" spans="3:13" x14ac:dyDescent="0.25">
      <c r="C36" s="189"/>
      <c r="D36" s="214"/>
      <c r="E36" s="214"/>
      <c r="F36" s="205" t="str">
        <f>$A$6</f>
        <v>Renewables</v>
      </c>
      <c r="G36" s="11">
        <v>0.2</v>
      </c>
      <c r="H36" s="11">
        <v>0.05</v>
      </c>
      <c r="I36" s="11">
        <v>0.02</v>
      </c>
      <c r="J36" s="11">
        <f t="shared" ref="J36:J42" si="13">SUM(G36:I36)</f>
        <v>0.27</v>
      </c>
      <c r="K36" s="94">
        <f t="shared" ref="K36:K42" si="14">K26*(1+J36)</f>
        <v>6159.2618750000001</v>
      </c>
      <c r="L36" s="11">
        <f>K36/K$43</f>
        <v>0.11788845613220748</v>
      </c>
      <c r="M36" s="11">
        <f>L36*J36</f>
        <v>3.1829883155696022E-2</v>
      </c>
    </row>
    <row r="37" spans="3:13" x14ac:dyDescent="0.25">
      <c r="C37" s="189"/>
      <c r="D37" s="215"/>
      <c r="E37" s="215"/>
      <c r="F37" s="205" t="str">
        <f>$A$7</f>
        <v>Batteries</v>
      </c>
      <c r="G37" s="11">
        <v>0.18</v>
      </c>
      <c r="H37" s="11">
        <v>0.05</v>
      </c>
      <c r="I37" s="11">
        <v>0.02</v>
      </c>
      <c r="J37" s="11">
        <f t="shared" si="13"/>
        <v>0.24999999999999997</v>
      </c>
      <c r="K37" s="94">
        <f t="shared" si="14"/>
        <v>13809.0275</v>
      </c>
      <c r="L37" s="11">
        <f t="shared" ref="L37:L42" si="15">K37/K$43</f>
        <v>0.26430519852871115</v>
      </c>
      <c r="M37" s="11">
        <f>L37*J37</f>
        <v>6.6076299632177773E-2</v>
      </c>
    </row>
    <row r="38" spans="3:13" x14ac:dyDescent="0.25">
      <c r="C38" s="187"/>
      <c r="D38" s="190"/>
      <c r="E38" s="190"/>
      <c r="F38" s="205" t="str">
        <f>$A$8</f>
        <v>Systems</v>
      </c>
      <c r="G38" s="11">
        <v>0.13</v>
      </c>
      <c r="H38" s="11">
        <v>0.05</v>
      </c>
      <c r="I38" s="11">
        <v>0.02</v>
      </c>
      <c r="J38" s="11">
        <f t="shared" si="13"/>
        <v>0.19999999999999998</v>
      </c>
      <c r="K38" s="94">
        <f t="shared" si="14"/>
        <v>20717.069856000002</v>
      </c>
      <c r="L38" s="11">
        <f t="shared" si="15"/>
        <v>0.39652533541723034</v>
      </c>
      <c r="M38" s="11">
        <f>L38*J38</f>
        <v>7.9305067083446062E-2</v>
      </c>
    </row>
    <row r="39" spans="3:13" x14ac:dyDescent="0.25">
      <c r="C39" s="187"/>
      <c r="D39" s="191"/>
      <c r="E39" s="191"/>
      <c r="F39" s="205" t="str">
        <f>$A$9</f>
        <v>Services</v>
      </c>
      <c r="G39" s="11">
        <v>0.08</v>
      </c>
      <c r="H39" s="11">
        <v>0</v>
      </c>
      <c r="I39" s="11">
        <v>0</v>
      </c>
      <c r="J39" s="11">
        <f t="shared" si="13"/>
        <v>0.08</v>
      </c>
      <c r="K39" s="94">
        <f t="shared" si="14"/>
        <v>8394.2168832000025</v>
      </c>
      <c r="L39" s="11">
        <f t="shared" si="15"/>
        <v>0.1606655616992026</v>
      </c>
      <c r="M39" s="11">
        <f t="shared" ref="M39:M41" si="16">L39*J39</f>
        <v>1.2853244935936209E-2</v>
      </c>
    </row>
    <row r="40" spans="3:13" x14ac:dyDescent="0.25">
      <c r="F40" s="205" t="str">
        <f>$A$10</f>
        <v>Interest</v>
      </c>
      <c r="G40" s="11">
        <v>0.13</v>
      </c>
      <c r="H40" s="11">
        <v>0</v>
      </c>
      <c r="I40" s="11">
        <v>0</v>
      </c>
      <c r="J40" s="11">
        <f t="shared" si="13"/>
        <v>0.13</v>
      </c>
      <c r="K40" s="94">
        <f t="shared" si="14"/>
        <v>1106.86212</v>
      </c>
      <c r="L40" s="11">
        <f t="shared" si="15"/>
        <v>2.1185374014970285E-2</v>
      </c>
      <c r="M40" s="11">
        <f t="shared" si="16"/>
        <v>2.7540986219461373E-3</v>
      </c>
    </row>
    <row r="41" spans="3:13" x14ac:dyDescent="0.25">
      <c r="F41" s="205" t="str">
        <f>$A$11</f>
        <v>Consulting</v>
      </c>
      <c r="G41" s="11">
        <v>0.05</v>
      </c>
      <c r="H41" s="11">
        <v>0</v>
      </c>
      <c r="I41" s="11">
        <v>0</v>
      </c>
      <c r="J41" s="11">
        <f t="shared" si="13"/>
        <v>0.05</v>
      </c>
      <c r="K41" s="207">
        <f t="shared" si="14"/>
        <v>364.65187500000002</v>
      </c>
      <c r="L41" s="11">
        <f t="shared" si="15"/>
        <v>6.9794477718102717E-3</v>
      </c>
      <c r="M41" s="210">
        <f t="shared" si="16"/>
        <v>3.4897238859051363E-4</v>
      </c>
    </row>
    <row r="42" spans="3:13" x14ac:dyDescent="0.25">
      <c r="F42" s="205" t="str">
        <f>$F$12</f>
        <v>New Product</v>
      </c>
      <c r="G42" s="11">
        <v>0.08</v>
      </c>
      <c r="H42" s="11">
        <v>0</v>
      </c>
      <c r="I42" s="11">
        <v>0</v>
      </c>
      <c r="J42" s="11">
        <f t="shared" si="13"/>
        <v>0.08</v>
      </c>
      <c r="K42" s="207">
        <f t="shared" si="14"/>
        <v>1695.4323840000002</v>
      </c>
      <c r="L42" s="11">
        <f t="shared" si="15"/>
        <v>3.2450626435867845E-2</v>
      </c>
      <c r="M42" s="210">
        <f t="shared" ref="M42" si="17">L42*J42</f>
        <v>2.5960501148694277E-3</v>
      </c>
    </row>
    <row r="43" spans="3:13" x14ac:dyDescent="0.25">
      <c r="K43" s="94">
        <f>SUM(K36:K42)</f>
        <v>52246.522493200006</v>
      </c>
      <c r="L43" s="11"/>
      <c r="M43" s="11">
        <f>SUM(M36:M42)</f>
        <v>0.19576361593266217</v>
      </c>
    </row>
    <row r="44" spans="3:13" x14ac:dyDescent="0.25">
      <c r="F44" s="205"/>
    </row>
    <row r="45" spans="3:13" x14ac:dyDescent="0.25">
      <c r="F45" s="205"/>
      <c r="G45" s="285">
        <v>2022</v>
      </c>
      <c r="H45" s="285"/>
      <c r="I45" s="285"/>
      <c r="J45" s="285"/>
      <c r="K45" s="285"/>
      <c r="L45" s="285"/>
      <c r="M45" s="285"/>
    </row>
    <row r="46" spans="3:13" x14ac:dyDescent="0.25">
      <c r="F46" s="205" t="str">
        <f>$A$6</f>
        <v>Renewables</v>
      </c>
      <c r="G46" s="11">
        <v>0.18</v>
      </c>
      <c r="H46" s="11">
        <v>0.05</v>
      </c>
      <c r="I46" s="11">
        <v>0.02</v>
      </c>
      <c r="J46" s="11">
        <f>SUM(G46:I46)</f>
        <v>0.24999999999999997</v>
      </c>
      <c r="K46" s="94">
        <f t="shared" ref="K46:K52" si="18">K36*(1+J46)</f>
        <v>7699.0773437500002</v>
      </c>
      <c r="L46" s="11">
        <f>K46/K$53</f>
        <v>0.12566770281546702</v>
      </c>
      <c r="M46" s="11">
        <f>L46*J46</f>
        <v>3.1416925703866748E-2</v>
      </c>
    </row>
    <row r="47" spans="3:13" x14ac:dyDescent="0.25">
      <c r="F47" s="205" t="str">
        <f>$A$7</f>
        <v>Batteries</v>
      </c>
      <c r="G47" s="11">
        <v>0.15</v>
      </c>
      <c r="H47" s="11">
        <v>0.05</v>
      </c>
      <c r="I47" s="11">
        <v>0.02</v>
      </c>
      <c r="J47" s="11">
        <f t="shared" ref="J47:J52" si="19">SUM(G47:I47)</f>
        <v>0.22</v>
      </c>
      <c r="K47" s="94">
        <f t="shared" si="18"/>
        <v>16847.01355</v>
      </c>
      <c r="L47" s="11">
        <f t="shared" ref="L47:L52" si="20">K47/K$53</f>
        <v>0.27498431274342217</v>
      </c>
      <c r="M47" s="11">
        <f>L47*J47</f>
        <v>6.0496548803552874E-2</v>
      </c>
    </row>
    <row r="48" spans="3:13" x14ac:dyDescent="0.25">
      <c r="F48" s="205" t="str">
        <f>$A$8</f>
        <v>Systems</v>
      </c>
      <c r="G48" s="11">
        <v>0.1</v>
      </c>
      <c r="H48" s="11">
        <v>0.05</v>
      </c>
      <c r="I48" s="11">
        <v>0.02</v>
      </c>
      <c r="J48" s="11">
        <f t="shared" si="19"/>
        <v>0.17</v>
      </c>
      <c r="K48" s="94">
        <f t="shared" si="18"/>
        <v>24238.97173152</v>
      </c>
      <c r="L48" s="11">
        <f t="shared" si="20"/>
        <v>0.39563908246510937</v>
      </c>
      <c r="M48" s="11">
        <f>L48*J48</f>
        <v>6.72586440190686E-2</v>
      </c>
    </row>
    <row r="49" spans="6:13" x14ac:dyDescent="0.25">
      <c r="F49" s="205" t="str">
        <f>$A$9</f>
        <v>Services</v>
      </c>
      <c r="G49" s="11">
        <v>0.08</v>
      </c>
      <c r="H49" s="11">
        <v>0</v>
      </c>
      <c r="I49" s="11">
        <v>0</v>
      </c>
      <c r="J49" s="11">
        <f t="shared" si="19"/>
        <v>0.08</v>
      </c>
      <c r="K49" s="94">
        <f t="shared" si="18"/>
        <v>9065.7542338560033</v>
      </c>
      <c r="L49" s="11">
        <f t="shared" si="20"/>
        <v>0.14797519988328514</v>
      </c>
      <c r="M49" s="11">
        <f t="shared" ref="M49:M52" si="21">L49*J49</f>
        <v>1.1838015990662811E-2</v>
      </c>
    </row>
    <row r="50" spans="6:13" x14ac:dyDescent="0.25">
      <c r="F50" s="205" t="str">
        <f>$A$10</f>
        <v>Interest</v>
      </c>
      <c r="G50" s="11">
        <v>0.1</v>
      </c>
      <c r="H50" s="11">
        <v>0</v>
      </c>
      <c r="I50" s="11">
        <v>0</v>
      </c>
      <c r="J50" s="11">
        <f t="shared" si="19"/>
        <v>0.1</v>
      </c>
      <c r="K50" s="94">
        <f t="shared" si="18"/>
        <v>1217.5483320000001</v>
      </c>
      <c r="L50" s="11">
        <f t="shared" si="20"/>
        <v>1.9873355613637532E-2</v>
      </c>
      <c r="M50" s="11">
        <f t="shared" si="21"/>
        <v>1.9873355613637535E-3</v>
      </c>
    </row>
    <row r="51" spans="6:13" x14ac:dyDescent="0.25">
      <c r="F51" s="205" t="str">
        <f>$A$11</f>
        <v>Consulting</v>
      </c>
      <c r="G51" s="11">
        <v>0.05</v>
      </c>
      <c r="H51" s="11">
        <v>0</v>
      </c>
      <c r="I51" s="11">
        <v>0</v>
      </c>
      <c r="J51" s="11">
        <f t="shared" si="19"/>
        <v>0.05</v>
      </c>
      <c r="K51" s="207">
        <f t="shared" si="18"/>
        <v>382.88446875000005</v>
      </c>
      <c r="L51" s="11">
        <f t="shared" si="20"/>
        <v>6.2496075157100518E-3</v>
      </c>
      <c r="M51" s="210">
        <f t="shared" si="21"/>
        <v>3.1248037578550261E-4</v>
      </c>
    </row>
    <row r="52" spans="6:13" x14ac:dyDescent="0.25">
      <c r="F52" s="205" t="str">
        <f>$F$12</f>
        <v>New Product</v>
      </c>
      <c r="G52" s="11">
        <v>7.0000000000000007E-2</v>
      </c>
      <c r="H52" s="11">
        <v>0</v>
      </c>
      <c r="I52" s="11">
        <v>0</v>
      </c>
      <c r="J52" s="11">
        <f t="shared" si="19"/>
        <v>7.0000000000000007E-2</v>
      </c>
      <c r="K52" s="207">
        <f t="shared" si="18"/>
        <v>1814.1126508800003</v>
      </c>
      <c r="L52" s="11">
        <f t="shared" si="20"/>
        <v>2.9610738963368653E-2</v>
      </c>
      <c r="M52" s="210">
        <f t="shared" si="21"/>
        <v>2.0727517274358059E-3</v>
      </c>
    </row>
    <row r="53" spans="6:13" x14ac:dyDescent="0.25">
      <c r="K53" s="94">
        <f>SUM(K46:K52)</f>
        <v>61265.362310756005</v>
      </c>
      <c r="L53" s="11"/>
      <c r="M53" s="11">
        <f>SUM(M46:M52)</f>
        <v>0.17538270218173607</v>
      </c>
    </row>
    <row r="54" spans="6:13" x14ac:dyDescent="0.25">
      <c r="F54" s="205"/>
    </row>
    <row r="55" spans="6:13" x14ac:dyDescent="0.25">
      <c r="F55" s="205"/>
    </row>
    <row r="56" spans="6:13" x14ac:dyDescent="0.25">
      <c r="F56" s="285" t="s">
        <v>289</v>
      </c>
      <c r="G56" s="285"/>
      <c r="H56" s="285"/>
      <c r="I56" s="285"/>
      <c r="J56" s="285"/>
      <c r="K56" s="285"/>
      <c r="L56" s="285"/>
      <c r="M56" s="285"/>
    </row>
    <row r="57" spans="6:13" x14ac:dyDescent="0.25">
      <c r="F57" s="194"/>
      <c r="G57" s="194"/>
      <c r="H57" s="194"/>
      <c r="I57" s="194"/>
      <c r="J57" s="194"/>
      <c r="K57" s="194"/>
      <c r="L57" s="194"/>
      <c r="M57" s="194"/>
    </row>
    <row r="58" spans="6:13" ht="30" x14ac:dyDescent="0.25">
      <c r="F58" s="212" t="s">
        <v>258</v>
      </c>
      <c r="G58" s="181">
        <v>2023</v>
      </c>
      <c r="H58" s="181">
        <v>2024</v>
      </c>
      <c r="I58" s="181">
        <v>2025</v>
      </c>
      <c r="J58" s="181">
        <v>2026</v>
      </c>
      <c r="K58" s="181">
        <v>2027</v>
      </c>
      <c r="L58" s="286">
        <v>2028</v>
      </c>
      <c r="M58" s="286"/>
    </row>
    <row r="59" spans="6:13" x14ac:dyDescent="0.25">
      <c r="F59" s="212"/>
      <c r="G59" s="181"/>
      <c r="H59" s="181"/>
      <c r="I59" s="181"/>
      <c r="J59" s="181"/>
      <c r="K59" s="181"/>
      <c r="L59" s="181"/>
    </row>
    <row r="60" spans="6:13" x14ac:dyDescent="0.25">
      <c r="F60" s="2" t="str">
        <f>$A$6</f>
        <v>Renewables</v>
      </c>
      <c r="G60" s="11">
        <f>M46</f>
        <v>3.1416925703866748E-2</v>
      </c>
      <c r="H60" s="11">
        <f t="shared" ref="H60:K66" si="22">G60+G60/G$67*G$68</f>
        <v>2.783425474338494E-2</v>
      </c>
      <c r="I60" s="11">
        <f t="shared" si="22"/>
        <v>2.4251583782903135E-2</v>
      </c>
      <c r="J60" s="11">
        <f t="shared" si="22"/>
        <v>2.066891282242133E-2</v>
      </c>
      <c r="K60" s="11">
        <f t="shared" si="22"/>
        <v>1.7086241861939525E-2</v>
      </c>
      <c r="L60" s="11">
        <f>(K60+K60/K$67*K$68)</f>
        <v>1.3503570901457719E-2</v>
      </c>
      <c r="M60" s="94">
        <f t="shared" ref="M60:M66" si="23">L60/$L$67*$K$71*(1+$L$69)</f>
        <v>19861.049673515234</v>
      </c>
    </row>
    <row r="61" spans="6:13" x14ac:dyDescent="0.25">
      <c r="F61" s="2" t="str">
        <f>$A$7</f>
        <v>Batteries</v>
      </c>
      <c r="G61" s="11">
        <f t="shared" ref="G61:G66" si="24">M47</f>
        <v>6.0496548803552874E-2</v>
      </c>
      <c r="H61" s="11">
        <f t="shared" si="22"/>
        <v>5.3597744297637029E-2</v>
      </c>
      <c r="I61" s="11">
        <f t="shared" si="22"/>
        <v>4.6698939791721183E-2</v>
      </c>
      <c r="J61" s="11">
        <f t="shared" si="22"/>
        <v>3.9800135285805338E-2</v>
      </c>
      <c r="K61" s="11">
        <f t="shared" si="22"/>
        <v>3.2901330779889493E-2</v>
      </c>
      <c r="L61" s="11">
        <f t="shared" ref="L61:L66" si="25">K61+K61/K$67*K$68</f>
        <v>2.6002526273973647E-2</v>
      </c>
      <c r="M61" s="94">
        <f t="shared" si="23"/>
        <v>38244.51100623508</v>
      </c>
    </row>
    <row r="62" spans="6:13" x14ac:dyDescent="0.25">
      <c r="F62" s="2" t="str">
        <f>$A$8</f>
        <v>Systems</v>
      </c>
      <c r="G62" s="11">
        <f t="shared" si="24"/>
        <v>6.72586440190686E-2</v>
      </c>
      <c r="H62" s="11">
        <f t="shared" si="22"/>
        <v>5.9588714980186142E-2</v>
      </c>
      <c r="I62" s="11">
        <f t="shared" si="22"/>
        <v>5.1918785941303683E-2</v>
      </c>
      <c r="J62" s="11">
        <f t="shared" si="22"/>
        <v>4.4248856902421224E-2</v>
      </c>
      <c r="K62" s="11">
        <f t="shared" si="22"/>
        <v>3.6578927863538765E-2</v>
      </c>
      <c r="L62" s="11">
        <f t="shared" si="25"/>
        <v>2.89089988246563E-2</v>
      </c>
      <c r="M62" s="94">
        <f t="shared" si="23"/>
        <v>42519.350315412572</v>
      </c>
    </row>
    <row r="63" spans="6:13" x14ac:dyDescent="0.25">
      <c r="F63" s="2" t="str">
        <f>$A$9</f>
        <v>Services</v>
      </c>
      <c r="G63" s="11">
        <f t="shared" si="24"/>
        <v>1.1838015990662811E-2</v>
      </c>
      <c r="H63" s="11">
        <f t="shared" si="22"/>
        <v>1.0488052072511298E-2</v>
      </c>
      <c r="I63" s="11">
        <f t="shared" si="22"/>
        <v>9.1380881543597862E-3</v>
      </c>
      <c r="J63" s="11">
        <f t="shared" si="22"/>
        <v>7.7881242362082739E-3</v>
      </c>
      <c r="K63" s="11">
        <f t="shared" si="22"/>
        <v>6.4381603180567615E-3</v>
      </c>
      <c r="L63" s="11">
        <f t="shared" si="25"/>
        <v>5.0881963999052492E-3</v>
      </c>
      <c r="M63" s="94">
        <f t="shared" si="23"/>
        <v>7483.7183575057452</v>
      </c>
    </row>
    <row r="64" spans="6:13" x14ac:dyDescent="0.25">
      <c r="F64" s="2" t="str">
        <f>$A$10</f>
        <v>Interest</v>
      </c>
      <c r="G64" s="11">
        <f t="shared" si="24"/>
        <v>1.9873355613637535E-3</v>
      </c>
      <c r="H64" s="11">
        <f t="shared" si="22"/>
        <v>1.7607071040938427E-3</v>
      </c>
      <c r="I64" s="11">
        <f t="shared" si="22"/>
        <v>1.534078646823932E-3</v>
      </c>
      <c r="J64" s="11">
        <f t="shared" si="22"/>
        <v>1.3074501895540213E-3</v>
      </c>
      <c r="K64" s="11">
        <f t="shared" si="22"/>
        <v>1.0808217322841106E-3</v>
      </c>
      <c r="L64" s="11">
        <f t="shared" si="25"/>
        <v>8.5419327501419973E-4</v>
      </c>
      <c r="M64" s="94">
        <f t="shared" si="23"/>
        <v>1256.3473165463424</v>
      </c>
    </row>
    <row r="65" spans="6:14" x14ac:dyDescent="0.25">
      <c r="F65" s="2" t="str">
        <f>$A$11</f>
        <v>Consulting</v>
      </c>
      <c r="G65" s="11">
        <f t="shared" si="24"/>
        <v>3.1248037578550261E-4</v>
      </c>
      <c r="H65" s="11">
        <f t="shared" si="22"/>
        <v>2.7684626000346816E-4</v>
      </c>
      <c r="I65" s="11">
        <f t="shared" si="22"/>
        <v>2.4121214422143369E-4</v>
      </c>
      <c r="J65" s="11">
        <f t="shared" si="22"/>
        <v>2.0557802843939921E-4</v>
      </c>
      <c r="K65" s="11">
        <f t="shared" si="22"/>
        <v>1.6994391265736476E-4</v>
      </c>
      <c r="L65" s="11">
        <f t="shared" si="25"/>
        <v>1.3430979687533028E-4</v>
      </c>
      <c r="M65" s="94">
        <f t="shared" si="23"/>
        <v>197.5428252902137</v>
      </c>
    </row>
    <row r="66" spans="6:14" x14ac:dyDescent="0.25">
      <c r="F66" s="2" t="s">
        <v>260</v>
      </c>
      <c r="G66" s="209">
        <f t="shared" si="24"/>
        <v>2.0727517274358059E-3</v>
      </c>
      <c r="H66" s="209">
        <f t="shared" si="22"/>
        <v>1.8363827239193738E-3</v>
      </c>
      <c r="I66" s="209">
        <f t="shared" si="22"/>
        <v>1.6000137204029419E-3</v>
      </c>
      <c r="J66" s="209">
        <f t="shared" si="22"/>
        <v>1.36364471688651E-3</v>
      </c>
      <c r="K66" s="209">
        <f t="shared" si="22"/>
        <v>1.1272757133700781E-3</v>
      </c>
      <c r="L66" s="209">
        <f t="shared" si="25"/>
        <v>8.9090670985364614E-4</v>
      </c>
      <c r="M66" s="208">
        <f t="shared" si="23"/>
        <v>1310.3454299603948</v>
      </c>
    </row>
    <row r="67" spans="6:14" x14ac:dyDescent="0.25">
      <c r="F67" s="2"/>
      <c r="G67" s="11">
        <f>SUM(G60:G66)</f>
        <v>0.17538270218173607</v>
      </c>
      <c r="H67" s="11">
        <f>SUM(H60:H66)</f>
        <v>0.15538270218173608</v>
      </c>
      <c r="I67" s="11">
        <f>SUM(I60:I66)</f>
        <v>0.13538270218173609</v>
      </c>
      <c r="J67" s="11">
        <f t="shared" ref="J67:K67" si="26">SUM(J60:J66)</f>
        <v>0.1153827021817361</v>
      </c>
      <c r="K67" s="11">
        <f t="shared" si="26"/>
        <v>9.5382702181736084E-2</v>
      </c>
      <c r="L67" s="11">
        <f>SUM(L60:L66)</f>
        <v>7.538270218173608E-2</v>
      </c>
    </row>
    <row r="68" spans="6:14" x14ac:dyDescent="0.25">
      <c r="F68" s="2" t="s">
        <v>287</v>
      </c>
      <c r="G68" s="239">
        <v>-0.02</v>
      </c>
      <c r="H68" s="239">
        <v>-0.02</v>
      </c>
      <c r="I68" s="239">
        <v>-0.02</v>
      </c>
      <c r="J68" s="239">
        <v>-0.02</v>
      </c>
      <c r="K68" s="239">
        <v>-0.02</v>
      </c>
    </row>
    <row r="69" spans="6:14" x14ac:dyDescent="0.25">
      <c r="F69" s="2"/>
      <c r="G69" s="70">
        <f>SUM(G67:G68)</f>
        <v>0.15538270218173608</v>
      </c>
      <c r="H69" s="70">
        <f t="shared" ref="H69:K69" si="27">SUM(H67:H68)</f>
        <v>0.13538270218173609</v>
      </c>
      <c r="I69" s="70">
        <f t="shared" si="27"/>
        <v>0.11538270218173609</v>
      </c>
      <c r="J69" s="70">
        <f t="shared" si="27"/>
        <v>9.5382702181736098E-2</v>
      </c>
      <c r="K69" s="70">
        <f t="shared" si="27"/>
        <v>7.538270218173608E-2</v>
      </c>
      <c r="L69" s="240">
        <v>0.05</v>
      </c>
      <c r="M69" s="13" t="s">
        <v>290</v>
      </c>
    </row>
    <row r="70" spans="6:14" x14ac:dyDescent="0.25">
      <c r="F70" s="2"/>
    </row>
    <row r="71" spans="6:14" x14ac:dyDescent="0.25">
      <c r="F71" s="182" t="s">
        <v>288</v>
      </c>
      <c r="G71" s="94">
        <f>K53*(1+G69)</f>
        <v>70784.939856744357</v>
      </c>
      <c r="H71" s="94">
        <f>G71*(1+H69)</f>
        <v>80367.996288322087</v>
      </c>
      <c r="I71" s="94">
        <f t="shared" ref="I71:K71" si="28">H71*(1+I69)</f>
        <v>89641.072869000433</v>
      </c>
      <c r="J71" s="94">
        <f t="shared" si="28"/>
        <v>98191.280625715604</v>
      </c>
      <c r="K71" s="94">
        <f t="shared" si="28"/>
        <v>105593.2046899672</v>
      </c>
      <c r="L71" s="94"/>
      <c r="M71" s="94">
        <f>SUM(M60:M66)</f>
        <v>110872.86492446557</v>
      </c>
    </row>
    <row r="74" spans="6:14" x14ac:dyDescent="0.25">
      <c r="N74" s="10"/>
    </row>
  </sheetData>
  <mergeCells count="10">
    <mergeCell ref="B4:D4"/>
    <mergeCell ref="G3:M3"/>
    <mergeCell ref="G4:M4"/>
    <mergeCell ref="G15:M15"/>
    <mergeCell ref="G25:M25"/>
    <mergeCell ref="F56:M56"/>
    <mergeCell ref="L58:M58"/>
    <mergeCell ref="G35:M35"/>
    <mergeCell ref="G45:M45"/>
    <mergeCell ref="C31:D3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8"/>
  <sheetViews>
    <sheetView tabSelected="1" topLeftCell="C31" workbookViewId="0">
      <selection activeCell="M8" sqref="M8"/>
    </sheetView>
  </sheetViews>
  <sheetFormatPr defaultRowHeight="15" x14ac:dyDescent="0.25"/>
  <cols>
    <col min="1" max="1" width="5.7109375" customWidth="1"/>
    <col min="2" max="2" width="7.7109375" customWidth="1"/>
    <col min="3" max="3" width="9.28515625" bestFit="1" customWidth="1"/>
    <col min="4" max="4" width="10.28515625" bestFit="1" customWidth="1"/>
    <col min="5" max="5" width="9.5703125" bestFit="1" customWidth="1"/>
    <col min="6" max="6" width="12.28515625" customWidth="1"/>
    <col min="7" max="7" width="10.5703125" bestFit="1" customWidth="1"/>
    <col min="8" max="8" width="10.28515625" customWidth="1"/>
    <col min="9" max="9" width="11.5703125" bestFit="1" customWidth="1"/>
    <col min="10" max="10" width="10.5703125" bestFit="1" customWidth="1"/>
    <col min="11" max="11" width="9.42578125" customWidth="1"/>
    <col min="12" max="12" width="11.5703125" bestFit="1" customWidth="1"/>
    <col min="13" max="13" width="10.5703125" bestFit="1" customWidth="1"/>
    <col min="14" max="14" width="9.5703125" bestFit="1" customWidth="1"/>
    <col min="15" max="15" width="11.5703125" bestFit="1" customWidth="1"/>
    <col min="16" max="16" width="10.42578125" bestFit="1" customWidth="1"/>
    <col min="17" max="17" width="9.5703125" bestFit="1" customWidth="1"/>
    <col min="18" max="19" width="10.5703125" bestFit="1" customWidth="1"/>
    <col min="20" max="20" width="10.42578125" bestFit="1" customWidth="1"/>
    <col min="21" max="21" width="11.5703125" bestFit="1" customWidth="1"/>
    <col min="22" max="22" width="10.5703125" bestFit="1" customWidth="1"/>
    <col min="23" max="23" width="9.7109375" bestFit="1" customWidth="1"/>
    <col min="24" max="24" width="11.7109375" customWidth="1"/>
    <col min="25" max="25" width="10.5703125" bestFit="1" customWidth="1"/>
    <col min="26" max="26" width="9.5703125" bestFit="1" customWidth="1"/>
    <col min="27" max="27" width="11.5703125" bestFit="1" customWidth="1"/>
    <col min="28" max="28" width="9.28515625" bestFit="1" customWidth="1"/>
    <col min="29" max="29" width="9.5703125" bestFit="1" customWidth="1"/>
    <col min="30" max="31" width="9.28515625" bestFit="1" customWidth="1"/>
    <col min="32" max="32" width="9.5703125" bestFit="1" customWidth="1"/>
  </cols>
  <sheetData>
    <row r="1" spans="1:35" x14ac:dyDescent="0.25">
      <c r="B1" s="285" t="str">
        <f>'Financial Stmt'!B2:L2</f>
        <v>Leshkal Industries, Inc.</v>
      </c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  <c r="N1" s="285"/>
      <c r="O1" s="285"/>
      <c r="P1" s="285"/>
      <c r="Q1" s="285"/>
      <c r="R1" s="285"/>
      <c r="S1" s="285"/>
      <c r="T1" s="285"/>
      <c r="U1" s="285"/>
      <c r="V1" s="285"/>
      <c r="W1" s="285"/>
      <c r="X1" s="285"/>
      <c r="Y1" s="285"/>
      <c r="Z1" s="285"/>
      <c r="AA1" s="285"/>
      <c r="AB1" s="285"/>
      <c r="AC1" s="285"/>
      <c r="AD1" s="285"/>
    </row>
    <row r="2" spans="1:35" x14ac:dyDescent="0.25">
      <c r="B2" s="138"/>
      <c r="C2" s="138"/>
      <c r="D2" s="138"/>
      <c r="E2" s="138"/>
      <c r="F2" s="138"/>
      <c r="G2" s="138"/>
      <c r="H2" s="142"/>
      <c r="I2" s="142"/>
      <c r="J2" s="142"/>
      <c r="K2" s="142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</row>
    <row r="3" spans="1:35" x14ac:dyDescent="0.25">
      <c r="J3" s="2">
        <f>'Financial Stmt'!D6</f>
        <v>2016</v>
      </c>
      <c r="K3" s="2">
        <f>'Financial Stmt'!E6</f>
        <v>2017</v>
      </c>
    </row>
    <row r="4" spans="1:35" x14ac:dyDescent="0.25">
      <c r="B4" s="292" t="s">
        <v>114</v>
      </c>
      <c r="C4" s="293"/>
      <c r="D4" s="293"/>
      <c r="E4" s="11">
        <f>'Financial Stmt'!Q56</f>
        <v>0.05</v>
      </c>
      <c r="H4" s="186"/>
      <c r="I4" s="186" t="s">
        <v>115</v>
      </c>
      <c r="J4">
        <f>'Financial Stmt'!K21</f>
        <v>7620</v>
      </c>
      <c r="K4">
        <f>'Financial Stmt'!L21</f>
        <v>6530</v>
      </c>
      <c r="Q4" s="287"/>
      <c r="R4" s="287"/>
      <c r="U4" s="138"/>
      <c r="V4" s="48"/>
      <c r="W4" s="138"/>
      <c r="Z4" s="138"/>
      <c r="AA4" s="138"/>
      <c r="AB4" s="138"/>
    </row>
    <row r="5" spans="1:35" x14ac:dyDescent="0.25">
      <c r="B5" s="293" t="str">
        <f>'[1]Fin Stmt'!N38</f>
        <v>Taxes Paid/Taxable Income</v>
      </c>
      <c r="C5" s="293"/>
      <c r="D5" s="293"/>
      <c r="E5" s="70">
        <f>'Financial Stmt'!Q52</f>
        <v>0.23551637279596976</v>
      </c>
      <c r="Q5" s="187"/>
      <c r="R5" s="188"/>
      <c r="U5" s="48"/>
      <c r="V5" s="48"/>
      <c r="W5" s="48"/>
      <c r="Z5" s="63"/>
      <c r="AC5" s="1"/>
    </row>
    <row r="6" spans="1:35" x14ac:dyDescent="0.25">
      <c r="B6" s="293" t="s">
        <v>116</v>
      </c>
      <c r="C6" s="293"/>
      <c r="D6" s="293"/>
      <c r="E6" s="11">
        <f>'Financial Stmt'!Q50</f>
        <v>0.34</v>
      </c>
      <c r="Q6" s="189"/>
      <c r="R6" s="188"/>
      <c r="U6" s="48"/>
      <c r="V6" s="48"/>
      <c r="W6" s="138"/>
      <c r="Z6" s="48"/>
      <c r="AB6" s="73"/>
      <c r="AC6" s="104"/>
    </row>
    <row r="7" spans="1:35" ht="18" x14ac:dyDescent="0.35">
      <c r="B7" s="293" t="s">
        <v>117</v>
      </c>
      <c r="C7" s="293"/>
      <c r="D7" s="293"/>
      <c r="E7" s="70">
        <f>'Financial Stmt'!Q51</f>
        <v>0.34</v>
      </c>
      <c r="F7" s="132"/>
      <c r="G7" s="132"/>
      <c r="H7" s="136" t="s">
        <v>284</v>
      </c>
      <c r="I7" s="11">
        <f>'Financial Stmt'!Q64</f>
        <v>0.184</v>
      </c>
      <c r="J7" s="156" t="s">
        <v>283</v>
      </c>
      <c r="K7" s="11">
        <f>'Financial Stmt'!Q65</f>
        <v>0.08</v>
      </c>
      <c r="L7" s="136" t="s">
        <v>118</v>
      </c>
      <c r="M7" s="131">
        <f>'Financial Stmt'!Q66</f>
        <v>0.12253</v>
      </c>
      <c r="O7" s="8"/>
      <c r="Q7" s="189"/>
      <c r="R7" s="188"/>
      <c r="T7" s="92"/>
      <c r="U7" s="48"/>
      <c r="V7" s="48"/>
      <c r="W7" s="48"/>
      <c r="Z7" s="48"/>
      <c r="AA7" s="48"/>
      <c r="AB7" s="48"/>
      <c r="AC7" s="1"/>
    </row>
    <row r="8" spans="1:35" x14ac:dyDescent="0.25">
      <c r="B8" s="293" t="s">
        <v>119</v>
      </c>
      <c r="C8" s="293"/>
      <c r="D8" s="293"/>
      <c r="E8" s="129">
        <f>'Financial Stmt'!L66</f>
        <v>0.15619904714439242</v>
      </c>
      <c r="H8" s="136"/>
      <c r="I8" s="9"/>
      <c r="L8" s="8"/>
      <c r="O8" s="8"/>
      <c r="Q8" s="189"/>
      <c r="R8" s="214"/>
      <c r="U8" s="138"/>
      <c r="V8" s="138"/>
      <c r="W8" s="138"/>
      <c r="Z8" s="138"/>
      <c r="AA8" s="138"/>
      <c r="AB8" s="138"/>
    </row>
    <row r="9" spans="1:35" x14ac:dyDescent="0.25">
      <c r="B9" s="136"/>
      <c r="C9" s="136"/>
      <c r="D9" s="136"/>
      <c r="Q9" s="189"/>
      <c r="R9" s="215"/>
      <c r="S9" s="63"/>
      <c r="U9" s="74"/>
      <c r="V9" s="63"/>
      <c r="W9" s="63"/>
      <c r="Z9" s="63"/>
      <c r="AA9" s="63"/>
      <c r="AB9" s="63"/>
    </row>
    <row r="10" spans="1:35" ht="15.75" customHeight="1" x14ac:dyDescent="0.25">
      <c r="B10" s="294" t="s">
        <v>205</v>
      </c>
      <c r="C10" s="294"/>
      <c r="D10" s="294"/>
      <c r="E10" s="11">
        <f>D14/O14</f>
        <v>0.2007377805102982</v>
      </c>
      <c r="H10" s="29"/>
      <c r="I10" s="29" t="s">
        <v>206</v>
      </c>
      <c r="J10" s="11">
        <f>O14/E14</f>
        <v>1.3111648528819024</v>
      </c>
      <c r="K10" s="9"/>
      <c r="Q10" s="187"/>
    </row>
    <row r="11" spans="1:35" ht="17.25" x14ac:dyDescent="0.25">
      <c r="D11" s="136" t="s">
        <v>212</v>
      </c>
      <c r="E11" s="11">
        <v>0</v>
      </c>
      <c r="I11" s="141" t="s">
        <v>292</v>
      </c>
      <c r="J11" s="11">
        <v>0</v>
      </c>
      <c r="Q11" s="187"/>
      <c r="R11" s="191"/>
      <c r="Z11" s="133"/>
      <c r="AA11" s="133"/>
    </row>
    <row r="12" spans="1:35" x14ac:dyDescent="0.25">
      <c r="X12" s="71"/>
      <c r="Y12" s="127"/>
      <c r="Z12" s="133"/>
      <c r="AA12" s="133"/>
      <c r="AB12" s="290" t="s">
        <v>200</v>
      </c>
      <c r="AC12" s="290"/>
      <c r="AD12" s="290"/>
      <c r="AE12" s="290"/>
      <c r="AF12" s="290"/>
      <c r="AG12" s="290"/>
      <c r="AH12" s="290"/>
      <c r="AI12" s="290"/>
    </row>
    <row r="13" spans="1:35" ht="30" customHeight="1" x14ac:dyDescent="0.25">
      <c r="A13" s="75" t="s">
        <v>202</v>
      </c>
      <c r="B13" s="75" t="s">
        <v>203</v>
      </c>
      <c r="C13" s="75" t="s">
        <v>120</v>
      </c>
      <c r="D13" s="75" t="s">
        <v>121</v>
      </c>
      <c r="E13" s="75" t="s">
        <v>122</v>
      </c>
      <c r="F13" s="75" t="str">
        <f>'Financial Stmt'!O17</f>
        <v>Production Labor</v>
      </c>
      <c r="G13" s="75" t="str">
        <f>'Financial Stmt'!O18</f>
        <v>Materials</v>
      </c>
      <c r="H13" s="75" t="str">
        <f>'Financial Stmt'!O19</f>
        <v>Sales &amp; Mkt</v>
      </c>
      <c r="I13" s="75" t="str">
        <f>'Financial Stmt'!O20</f>
        <v>Admin</v>
      </c>
      <c r="J13" s="75" t="str">
        <f>'Financial Stmt'!O21</f>
        <v>Facilities</v>
      </c>
      <c r="K13" s="75" t="str">
        <f>'Financial Stmt'!O22</f>
        <v>Leases</v>
      </c>
      <c r="L13" s="75" t="s">
        <v>123</v>
      </c>
      <c r="M13" s="75" t="s">
        <v>124</v>
      </c>
      <c r="N13" s="75" t="s">
        <v>276</v>
      </c>
      <c r="O13" s="75" t="s">
        <v>268</v>
      </c>
      <c r="P13" s="75" t="s">
        <v>125</v>
      </c>
      <c r="Q13" s="76" t="s">
        <v>271</v>
      </c>
      <c r="R13" s="77" t="s">
        <v>272</v>
      </c>
      <c r="S13" s="75" t="s">
        <v>126</v>
      </c>
      <c r="T13" s="75" t="s">
        <v>127</v>
      </c>
      <c r="U13" s="75" t="s">
        <v>128</v>
      </c>
      <c r="V13" s="75"/>
      <c r="W13" s="75" t="s">
        <v>208</v>
      </c>
      <c r="X13" s="146" t="s">
        <v>207</v>
      </c>
      <c r="Y13" s="75" t="s">
        <v>209</v>
      </c>
      <c r="AB13" s="291" t="s">
        <v>211</v>
      </c>
      <c r="AC13" s="291"/>
      <c r="AD13" s="291"/>
      <c r="AE13" s="291"/>
      <c r="AF13" s="291"/>
      <c r="AG13" s="291"/>
      <c r="AH13" s="291"/>
      <c r="AI13" s="291"/>
    </row>
    <row r="14" spans="1:35" ht="15" customHeight="1" x14ac:dyDescent="0.25">
      <c r="B14">
        <v>0</v>
      </c>
      <c r="C14" s="83">
        <f>K3</f>
        <v>2017</v>
      </c>
      <c r="D14" s="105">
        <f>K4</f>
        <v>6530</v>
      </c>
      <c r="E14" s="105">
        <f>'Financial Stmt'!Q14</f>
        <v>24810</v>
      </c>
      <c r="F14" s="105">
        <f>'Financial Stmt'!Q17</f>
        <v>5440</v>
      </c>
      <c r="G14" s="105">
        <f>'Financial Stmt'!Q18</f>
        <v>2180</v>
      </c>
      <c r="H14" s="105">
        <f>'Financial Stmt'!Q19</f>
        <v>2700</v>
      </c>
      <c r="I14" s="105">
        <f>'Financial Stmt'!Q20</f>
        <v>2170</v>
      </c>
      <c r="J14" s="105">
        <f>'Financial Stmt'!Q21</f>
        <v>450</v>
      </c>
      <c r="K14" s="105">
        <f>'Financial Stmt'!Q22</f>
        <v>500</v>
      </c>
      <c r="L14" s="105">
        <f>'Financial Stmt'!Q23</f>
        <v>2760</v>
      </c>
      <c r="M14" s="59">
        <f>'Financial Stmt'!Q26</f>
        <v>8610</v>
      </c>
      <c r="N14" s="105">
        <f>'Financial Stmt'!Q31+'Financial Stmt'!Q32</f>
        <v>970</v>
      </c>
      <c r="O14" s="105">
        <f>'Financial Stmt'!E21+'Financial Stmt'!E12-'Financial Stmt'!L13</f>
        <v>32530</v>
      </c>
      <c r="P14" s="105">
        <f>'Financial Stmt'!L73</f>
        <v>5682.5999999999995</v>
      </c>
      <c r="Q14" s="105">
        <f>'Financial Stmt'!E46</f>
        <v>3960</v>
      </c>
      <c r="R14" s="105">
        <f>'Financial Stmt'!E21</f>
        <v>28570</v>
      </c>
      <c r="S14" s="105">
        <f>P14+L14-(R14-'Financial Stmt'!D21+'VAL without adjust'!L14)-('VAL without adjust'!Q14-('Financial Stmt'!D12-'Financial Stmt'!K13))</f>
        <v>1912.5999999999985</v>
      </c>
      <c r="T14" s="130">
        <f>P14/O14</f>
        <v>0.17468798032585303</v>
      </c>
      <c r="U14" s="59">
        <f>O14*(T14-$E$8)</f>
        <v>601.44499639291359</v>
      </c>
      <c r="W14" s="11">
        <f>(E14-'Financial Stmt'!P14)/'Financial Stmt'!P14</f>
        <v>0.11656165616561656</v>
      </c>
      <c r="X14" s="11">
        <f>E14/O14</f>
        <v>0.76268060252075009</v>
      </c>
      <c r="Y14" s="102">
        <f>D14/O14</f>
        <v>0.2007377805102982</v>
      </c>
      <c r="AB14" s="291"/>
      <c r="AC14" s="291"/>
      <c r="AD14" s="291"/>
      <c r="AE14" s="291"/>
      <c r="AF14" s="291"/>
      <c r="AG14" s="291"/>
      <c r="AH14" s="291"/>
      <c r="AI14" s="291"/>
    </row>
    <row r="15" spans="1:35" x14ac:dyDescent="0.25">
      <c r="C15" s="106"/>
      <c r="D15" s="106"/>
      <c r="E15" s="106"/>
      <c r="F15" s="106"/>
      <c r="G15" s="106"/>
      <c r="H15" s="106"/>
      <c r="I15" s="106"/>
      <c r="J15" s="106"/>
      <c r="K15" s="106"/>
      <c r="L15" s="106"/>
      <c r="M15" s="59"/>
      <c r="N15" s="106"/>
      <c r="O15" s="106"/>
      <c r="P15" s="106"/>
      <c r="Q15" s="106"/>
      <c r="R15" s="106"/>
      <c r="S15" s="106"/>
      <c r="T15" s="81"/>
      <c r="U15" s="59"/>
      <c r="Y15" s="80"/>
      <c r="AB15" t="s">
        <v>201</v>
      </c>
      <c r="AC15" s="134"/>
      <c r="AD15" s="134"/>
      <c r="AE15" s="134"/>
      <c r="AF15" s="134"/>
      <c r="AG15" s="134"/>
      <c r="AH15" s="128"/>
      <c r="AI15" s="128"/>
    </row>
    <row r="16" spans="1:35" ht="15" customHeight="1" x14ac:dyDescent="0.25">
      <c r="C16" s="302" t="s">
        <v>267</v>
      </c>
      <c r="D16" s="302"/>
      <c r="E16" s="81">
        <f>AVERAGE('Rev Forecast'!M13,'Rev Forecast'!M23,'Rev Forecast'!M33,'Rev Forecast'!M43,'Rev Forecast'!M53)</f>
        <v>0.19101929603001477</v>
      </c>
      <c r="F16" s="81">
        <f t="shared" ref="F16:L16" si="0">F14/$E$14</f>
        <v>0.2192664248286981</v>
      </c>
      <c r="G16" s="81">
        <f t="shared" si="0"/>
        <v>8.7867795243853283E-2</v>
      </c>
      <c r="H16" s="81">
        <f t="shared" si="0"/>
        <v>0.10882708585247884</v>
      </c>
      <c r="I16" s="81">
        <f t="shared" si="0"/>
        <v>8.746473196291818E-2</v>
      </c>
      <c r="J16" s="81">
        <f t="shared" si="0"/>
        <v>1.8137847642079808E-2</v>
      </c>
      <c r="K16" s="81">
        <f t="shared" si="0"/>
        <v>2.015316404675534E-2</v>
      </c>
      <c r="L16" s="81">
        <f t="shared" si="0"/>
        <v>0.11124546553808948</v>
      </c>
      <c r="M16" s="72"/>
      <c r="N16" s="81">
        <f>N14/$J$4</f>
        <v>0.12729658792650919</v>
      </c>
      <c r="O16" s="106"/>
      <c r="P16" s="106"/>
      <c r="Q16" s="106"/>
      <c r="R16" s="106"/>
      <c r="S16" s="106"/>
      <c r="T16" s="81"/>
      <c r="U16" s="59"/>
      <c r="Y16" s="80"/>
      <c r="AB16" s="291" t="s">
        <v>213</v>
      </c>
      <c r="AC16" s="291"/>
      <c r="AD16" s="291"/>
      <c r="AE16" s="291"/>
      <c r="AF16" s="291"/>
      <c r="AG16" s="291"/>
      <c r="AH16" s="291"/>
      <c r="AI16" s="291"/>
    </row>
    <row r="17" spans="1:35" ht="17.25" x14ac:dyDescent="0.25">
      <c r="C17" s="137"/>
      <c r="D17" s="137" t="s">
        <v>265</v>
      </c>
      <c r="E17" s="103">
        <v>0.02</v>
      </c>
      <c r="F17" s="81">
        <v>0</v>
      </c>
      <c r="G17" s="81">
        <v>0</v>
      </c>
      <c r="H17" s="81">
        <v>0</v>
      </c>
      <c r="I17" s="81">
        <v>0</v>
      </c>
      <c r="J17" s="81">
        <v>0</v>
      </c>
      <c r="K17" s="81">
        <v>0</v>
      </c>
      <c r="L17" s="81">
        <v>0</v>
      </c>
      <c r="M17" s="72"/>
      <c r="N17" s="81">
        <v>0</v>
      </c>
      <c r="O17" s="106"/>
      <c r="P17" s="106"/>
      <c r="Q17" s="106"/>
      <c r="R17" s="106"/>
      <c r="S17" s="106"/>
      <c r="T17" s="81"/>
      <c r="U17" s="59"/>
      <c r="Y17" s="80"/>
      <c r="AB17" s="295" t="s">
        <v>210</v>
      </c>
      <c r="AC17" s="295"/>
      <c r="AD17" s="295"/>
      <c r="AE17" s="295"/>
      <c r="AF17" s="295"/>
      <c r="AG17" s="295"/>
      <c r="AH17" s="295"/>
      <c r="AI17" s="295"/>
    </row>
    <row r="18" spans="1:35" x14ac:dyDescent="0.25"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59"/>
      <c r="N18" s="10"/>
      <c r="O18" s="10"/>
      <c r="P18" s="10"/>
      <c r="Q18" s="10"/>
      <c r="R18" s="10"/>
      <c r="S18" s="10"/>
      <c r="T18" s="11"/>
      <c r="U18" s="59"/>
      <c r="Y18" s="80"/>
      <c r="Z18" s="80"/>
      <c r="AA18" s="80"/>
      <c r="AB18" s="289" t="s">
        <v>204</v>
      </c>
      <c r="AC18" s="289"/>
      <c r="AD18" s="289"/>
      <c r="AE18" s="289"/>
      <c r="AF18" s="289"/>
      <c r="AG18" s="289"/>
      <c r="AH18" s="289"/>
      <c r="AI18" s="289"/>
    </row>
    <row r="19" spans="1:35" x14ac:dyDescent="0.25">
      <c r="A19" s="48"/>
      <c r="B19" s="48">
        <v>1</v>
      </c>
      <c r="C19" s="83">
        <f>C14+1</f>
        <v>2018</v>
      </c>
      <c r="D19" s="105">
        <f>O19*$E$10*(1-$E$11)^B19</f>
        <v>7651.5492140266024</v>
      </c>
      <c r="E19" s="105">
        <f>'Rev Forecast'!K13</f>
        <v>29071.199999999997</v>
      </c>
      <c r="F19" s="105">
        <f>F$16*$E19*(1-$F$17)^B19</f>
        <v>6374.3380894800475</v>
      </c>
      <c r="G19" s="105">
        <f>G$16*$E19*(1-$G$17)^B19</f>
        <v>2554.4222490931074</v>
      </c>
      <c r="H19" s="105">
        <f>H$16*$E19*(1-$H$17)^B19</f>
        <v>3163.7339782345825</v>
      </c>
      <c r="I19" s="105">
        <f>I$16*$E19*(1-$I$17)^B19</f>
        <v>2542.7047158403866</v>
      </c>
      <c r="J19" s="105">
        <f>J$16*$E19*(1-$J$17)^B19</f>
        <v>527.28899637243046</v>
      </c>
      <c r="K19" s="105">
        <f>K$16*$E19*(1-$K$17)^B19</f>
        <v>585.87666263603376</v>
      </c>
      <c r="L19" s="105">
        <f>L$16*$E19*(1-$L$17)^B19</f>
        <v>3234.0391777509067</v>
      </c>
      <c r="M19" s="59">
        <f>E19-SUM(F19:L19)</f>
        <v>10088.796130592502</v>
      </c>
      <c r="N19" s="105">
        <f>(N$16-$N$17)*D14</f>
        <v>831.24671916010504</v>
      </c>
      <c r="O19" s="105">
        <f>Q19+R19</f>
        <v>38117.135671100361</v>
      </c>
      <c r="P19" s="105">
        <f t="shared" ref="P19:P29" si="1">M19*(1-$E$6)</f>
        <v>6658.6054461910508</v>
      </c>
      <c r="Q19" s="105">
        <f>Q14*(1+($E19-$E14)/$E14)*(1-$J$11)^$B19</f>
        <v>4640.1431680773876</v>
      </c>
      <c r="R19" s="105">
        <f>R14*(1+($E19-$E14)/$E14)*(1-$J$11)^$B19</f>
        <v>33476.992503022972</v>
      </c>
      <c r="S19" s="105">
        <f>P19+L19-(Q19-Q14)-(R19-R14+L19)</f>
        <v>1071.4697750906907</v>
      </c>
      <c r="T19" s="130">
        <f t="shared" ref="T19:T29" si="2">P19/O19</f>
        <v>0.17468798032585303</v>
      </c>
      <c r="U19" s="59">
        <f t="shared" ref="U19:U29" si="3">O19*(T19-$E$8)</f>
        <v>704.7451744916433</v>
      </c>
      <c r="V19" s="9"/>
      <c r="W19" s="11">
        <f>(E19-E14)/E14</f>
        <v>0.1717533252720676</v>
      </c>
      <c r="X19" s="11">
        <f t="shared" ref="X19:X29" si="4">E19/O19</f>
        <v>0.76268060252074998</v>
      </c>
      <c r="Y19" s="102">
        <f t="shared" ref="Y19:Y29" si="5">D19/O19</f>
        <v>0.2007377805102982</v>
      </c>
      <c r="AB19" s="295"/>
      <c r="AC19" s="295"/>
      <c r="AD19" s="295"/>
      <c r="AE19" s="295"/>
      <c r="AF19" s="295"/>
      <c r="AG19" s="295"/>
      <c r="AH19" s="295"/>
      <c r="AI19" s="295"/>
    </row>
    <row r="20" spans="1:35" x14ac:dyDescent="0.25">
      <c r="A20" s="48"/>
      <c r="B20" s="48">
        <f>B19+1</f>
        <v>2</v>
      </c>
      <c r="C20" s="83">
        <f t="shared" ref="C20:C29" si="6">C19+1</f>
        <v>2019</v>
      </c>
      <c r="D20" s="105">
        <f t="shared" ref="D20:D29" si="7">O20*$E$10*(1-$E$11)^B20</f>
        <v>9520.0043550987502</v>
      </c>
      <c r="E20" s="105">
        <f>'Rev Forecast'!K23</f>
        <v>36170.184999999998</v>
      </c>
      <c r="F20" s="105">
        <f t="shared" ref="F20:F29" si="8">F$16*$E20*(1-$F$17)^B20</f>
        <v>7930.907150342603</v>
      </c>
      <c r="G20" s="105">
        <f t="shared" ref="G20:G29" si="9">G$16*$E20*(1-$G$17)^B20</f>
        <v>3178.1944095122931</v>
      </c>
      <c r="H20" s="105">
        <f t="shared" ref="H20:H28" si="10">H$16*$E20*(1-$H$17)^B20</f>
        <v>3936.2958282950422</v>
      </c>
      <c r="I20" s="105">
        <f t="shared" ref="I20:I29" si="11">I$16*$E20*(1-$I$17)^B20</f>
        <v>3163.6155360741636</v>
      </c>
      <c r="J20" s="105">
        <f t="shared" ref="J20:J29" si="12">J$16*$E20*(1-$J$17)^B20</f>
        <v>656.04930471584044</v>
      </c>
      <c r="K20" s="105">
        <f t="shared" ref="K20:K29" si="13">K$16*$E20*(1-$K$17)^B20</f>
        <v>728.94367190648927</v>
      </c>
      <c r="L20" s="105">
        <f t="shared" ref="L20:L29" si="14">L$16*$E20*(1-$L$17)^B20</f>
        <v>4023.7690689238207</v>
      </c>
      <c r="M20" s="59">
        <f t="shared" ref="M20:M29" si="15">E20-SUM(F20:L20)</f>
        <v>12552.410030229745</v>
      </c>
      <c r="N20" s="105">
        <f>(N$16-$N$17)*D19</f>
        <v>974.01610729734966</v>
      </c>
      <c r="O20" s="105">
        <f t="shared" ref="O20:O29" si="16">Q20+R20</f>
        <v>47425.075294236194</v>
      </c>
      <c r="P20" s="105">
        <f t="shared" si="1"/>
        <v>8284.5906199516303</v>
      </c>
      <c r="Q20" s="105">
        <f t="shared" ref="Q20:Q28" si="17">Q19*(1+(E20-E19)/E19)*(1-$J$11)^B20</f>
        <v>5773.2338814993955</v>
      </c>
      <c r="R20" s="105">
        <f t="shared" ref="R20:R28" si="18">R19*(1+($E20-$E19)/$E19)*(1-$J$11)^$B20</f>
        <v>41651.841412736801</v>
      </c>
      <c r="S20" s="105">
        <f t="shared" ref="S20:S29" si="19">P20+L20-(Q20-Q19)-(R20-R19+L20)</f>
        <v>-1023.3490031842066</v>
      </c>
      <c r="T20" s="130">
        <f t="shared" si="2"/>
        <v>0.174687980325853</v>
      </c>
      <c r="U20" s="59">
        <f t="shared" si="3"/>
        <v>876.83904824087006</v>
      </c>
      <c r="V20" s="9"/>
      <c r="W20" s="11">
        <f t="shared" ref="W20:W29" si="20">(E20-E19)/E19</f>
        <v>0.24419305016648785</v>
      </c>
      <c r="X20" s="11">
        <f t="shared" si="4"/>
        <v>0.76268060252075009</v>
      </c>
      <c r="Y20" s="102">
        <f t="shared" si="5"/>
        <v>0.2007377805102982</v>
      </c>
      <c r="AD20" s="28"/>
      <c r="AF20" s="28"/>
    </row>
    <row r="21" spans="1:35" x14ac:dyDescent="0.25">
      <c r="A21" s="48"/>
      <c r="B21" s="48">
        <f t="shared" ref="B21:B28" si="21">B20+1</f>
        <v>3</v>
      </c>
      <c r="C21" s="83">
        <f t="shared" si="6"/>
        <v>2020</v>
      </c>
      <c r="D21" s="105">
        <f t="shared" si="7"/>
        <v>11536.159284224106</v>
      </c>
      <c r="E21" s="105">
        <f>'Rev Forecast'!K33</f>
        <v>43830.33872</v>
      </c>
      <c r="F21" s="105">
        <f t="shared" si="8"/>
        <v>9610.5216701652553</v>
      </c>
      <c r="G21" s="105">
        <f t="shared" si="9"/>
        <v>3851.2752281176945</v>
      </c>
      <c r="H21" s="105">
        <f t="shared" si="10"/>
        <v>4769.9280348246675</v>
      </c>
      <c r="I21" s="105">
        <f t="shared" si="11"/>
        <v>3833.6088279887144</v>
      </c>
      <c r="J21" s="105">
        <f t="shared" si="12"/>
        <v>794.98800580411125</v>
      </c>
      <c r="K21" s="105">
        <f t="shared" si="13"/>
        <v>883.32000644901245</v>
      </c>
      <c r="L21" s="105">
        <f t="shared" si="14"/>
        <v>4875.9264355985488</v>
      </c>
      <c r="M21" s="59">
        <f t="shared" si="15"/>
        <v>15210.770511051996</v>
      </c>
      <c r="N21" s="105">
        <f t="shared" ref="N21:N29" si="22">(N$16-$N$17)*D20</f>
        <v>1211.8640714495784</v>
      </c>
      <c r="O21" s="105">
        <f t="shared" si="16"/>
        <v>57468.799619572761</v>
      </c>
      <c r="P21" s="105">
        <f t="shared" si="1"/>
        <v>10039.108537294316</v>
      </c>
      <c r="Q21" s="105">
        <f t="shared" si="17"/>
        <v>6995.8944510761794</v>
      </c>
      <c r="R21" s="105">
        <f t="shared" si="18"/>
        <v>50472.905168496582</v>
      </c>
      <c r="S21" s="105">
        <f t="shared" si="19"/>
        <v>-4.6157880422488233</v>
      </c>
      <c r="T21" s="130">
        <f t="shared" si="2"/>
        <v>0.17468798032585303</v>
      </c>
      <c r="U21" s="59">
        <f t="shared" si="3"/>
        <v>1062.5367961850297</v>
      </c>
      <c r="V21" s="9"/>
      <c r="W21" s="11">
        <f t="shared" si="20"/>
        <v>0.21178088306708973</v>
      </c>
      <c r="X21" s="11">
        <f t="shared" si="4"/>
        <v>0.76268060252074998</v>
      </c>
      <c r="Y21" s="102">
        <f t="shared" si="5"/>
        <v>0.2007377805102982</v>
      </c>
      <c r="AD21" s="28"/>
      <c r="AF21" s="28"/>
    </row>
    <row r="22" spans="1:35" x14ac:dyDescent="0.25">
      <c r="A22" s="48"/>
      <c r="B22" s="48">
        <f t="shared" si="21"/>
        <v>4</v>
      </c>
      <c r="C22" s="83">
        <f t="shared" si="6"/>
        <v>2021</v>
      </c>
      <c r="D22" s="105">
        <f t="shared" si="7"/>
        <v>13751.301567134065</v>
      </c>
      <c r="E22" s="105">
        <f>'Rev Forecast'!K43</f>
        <v>52246.522493200006</v>
      </c>
      <c r="F22" s="105">
        <f t="shared" si="8"/>
        <v>11455.908196816123</v>
      </c>
      <c r="G22" s="105">
        <f t="shared" si="9"/>
        <v>4590.7867406358728</v>
      </c>
      <c r="H22" s="105">
        <f t="shared" si="10"/>
        <v>5685.8367888609437</v>
      </c>
      <c r="I22" s="105">
        <f t="shared" si="11"/>
        <v>4569.7280858623144</v>
      </c>
      <c r="J22" s="105">
        <f t="shared" si="12"/>
        <v>947.63946481015739</v>
      </c>
      <c r="K22" s="105">
        <f t="shared" si="13"/>
        <v>1052.9327386779526</v>
      </c>
      <c r="L22" s="105">
        <f t="shared" si="14"/>
        <v>5812.1887175022975</v>
      </c>
      <c r="M22" s="59">
        <f t="shared" si="15"/>
        <v>18131.501760034349</v>
      </c>
      <c r="N22" s="105">
        <f t="shared" si="22"/>
        <v>1468.5137146584493</v>
      </c>
      <c r="O22" s="105">
        <f t="shared" si="16"/>
        <v>68503.803978387616</v>
      </c>
      <c r="P22" s="105">
        <f t="shared" si="1"/>
        <v>11966.791161622668</v>
      </c>
      <c r="Q22" s="105">
        <f t="shared" si="17"/>
        <v>8339.2272903293851</v>
      </c>
      <c r="R22" s="105">
        <f t="shared" si="18"/>
        <v>60164.576688058223</v>
      </c>
      <c r="S22" s="105">
        <f t="shared" si="19"/>
        <v>931.78680280782282</v>
      </c>
      <c r="T22" s="130">
        <f t="shared" si="2"/>
        <v>0.17468798032585303</v>
      </c>
      <c r="U22" s="59">
        <f t="shared" si="3"/>
        <v>1266.5622544322841</v>
      </c>
      <c r="V22" s="9"/>
      <c r="W22" s="11">
        <f t="shared" si="20"/>
        <v>0.19201731081671197</v>
      </c>
      <c r="X22" s="11">
        <f t="shared" si="4"/>
        <v>0.76268060252074987</v>
      </c>
      <c r="Y22" s="102">
        <f t="shared" si="5"/>
        <v>0.2007377805102982</v>
      </c>
      <c r="AD22" s="28"/>
      <c r="AF22" s="28"/>
    </row>
    <row r="23" spans="1:35" x14ac:dyDescent="0.25">
      <c r="A23" s="48"/>
      <c r="B23" s="48">
        <f t="shared" si="21"/>
        <v>5</v>
      </c>
      <c r="C23" s="83">
        <f t="shared" si="6"/>
        <v>2022</v>
      </c>
      <c r="D23" s="105">
        <f t="shared" si="7"/>
        <v>16125.063115245339</v>
      </c>
      <c r="E23" s="105">
        <f>'Rev Forecast'!K53</f>
        <v>61265.362310756005</v>
      </c>
      <c r="F23" s="105">
        <f t="shared" si="8"/>
        <v>13433.436959714336</v>
      </c>
      <c r="G23" s="105">
        <f t="shared" si="9"/>
        <v>5383.252311061995</v>
      </c>
      <c r="H23" s="105">
        <f t="shared" si="10"/>
        <v>6667.3308439758657</v>
      </c>
      <c r="I23" s="105">
        <f t="shared" si="11"/>
        <v>5358.5584931213434</v>
      </c>
      <c r="J23" s="105">
        <f t="shared" si="12"/>
        <v>1111.2218073293109</v>
      </c>
      <c r="K23" s="105">
        <f t="shared" si="13"/>
        <v>1234.6908970325676</v>
      </c>
      <c r="L23" s="105">
        <f t="shared" si="14"/>
        <v>6815.4937516197733</v>
      </c>
      <c r="M23" s="59">
        <f t="shared" si="15"/>
        <v>21261.377246900811</v>
      </c>
      <c r="N23" s="105">
        <f t="shared" si="22"/>
        <v>1750.4937690446252</v>
      </c>
      <c r="O23" s="105">
        <f t="shared" si="16"/>
        <v>80328.989760938872</v>
      </c>
      <c r="P23" s="105">
        <f t="shared" si="1"/>
        <v>14032.508982954534</v>
      </c>
      <c r="Q23" s="105">
        <f t="shared" si="17"/>
        <v>9778.7519044979363</v>
      </c>
      <c r="R23" s="105">
        <f t="shared" si="18"/>
        <v>70550.23785644093</v>
      </c>
      <c r="S23" s="105">
        <f t="shared" si="19"/>
        <v>2207.3232004032761</v>
      </c>
      <c r="T23" s="130">
        <f t="shared" si="2"/>
        <v>0.17468798032585298</v>
      </c>
      <c r="U23" s="59">
        <f t="shared" si="3"/>
        <v>1485.1973242242277</v>
      </c>
      <c r="V23" s="9"/>
      <c r="W23" s="11">
        <f t="shared" si="20"/>
        <v>0.17262086330683196</v>
      </c>
      <c r="X23" s="11">
        <f t="shared" si="4"/>
        <v>0.76268060252074987</v>
      </c>
      <c r="Y23" s="102">
        <f t="shared" si="5"/>
        <v>0.2007377805102982</v>
      </c>
      <c r="AD23" s="28"/>
      <c r="AF23" s="28"/>
    </row>
    <row r="24" spans="1:35" x14ac:dyDescent="0.25">
      <c r="A24" s="48"/>
      <c r="B24" s="48">
        <f t="shared" si="21"/>
        <v>6</v>
      </c>
      <c r="C24" s="83">
        <f t="shared" si="6"/>
        <v>2023</v>
      </c>
      <c r="D24" s="105">
        <f t="shared" si="7"/>
        <v>18630.618994943197</v>
      </c>
      <c r="E24" s="105">
        <f>E23*(1+'Rev Forecast'!$M$53-($E$17*(B24-$B$23)))</f>
        <v>70784.939856744357</v>
      </c>
      <c r="F24" s="105">
        <f t="shared" si="8"/>
        <v>15520.760694102752</v>
      </c>
      <c r="G24" s="105">
        <f t="shared" si="9"/>
        <v>6219.7166016808824</v>
      </c>
      <c r="H24" s="105">
        <f t="shared" si="10"/>
        <v>7703.3187268524698</v>
      </c>
      <c r="I24" s="105">
        <f t="shared" si="11"/>
        <v>6191.1857915814289</v>
      </c>
      <c r="J24" s="105">
        <f t="shared" si="12"/>
        <v>1283.8864544754117</v>
      </c>
      <c r="K24" s="105">
        <f t="shared" si="13"/>
        <v>1426.5405049726794</v>
      </c>
      <c r="L24" s="105">
        <f t="shared" si="14"/>
        <v>7874.5035874491905</v>
      </c>
      <c r="M24" s="59">
        <f t="shared" si="15"/>
        <v>24565.027495629547</v>
      </c>
      <c r="N24" s="105">
        <f t="shared" si="22"/>
        <v>2052.6655146703383</v>
      </c>
      <c r="O24" s="105">
        <f t="shared" si="16"/>
        <v>92810.725253522542</v>
      </c>
      <c r="P24" s="105">
        <f t="shared" si="1"/>
        <v>16212.918147115499</v>
      </c>
      <c r="Q24" s="105">
        <f t="shared" si="17"/>
        <v>11298.200799383623</v>
      </c>
      <c r="R24" s="105">
        <f t="shared" si="18"/>
        <v>81512.524454138926</v>
      </c>
      <c r="S24" s="105">
        <f t="shared" si="19"/>
        <v>3731.1826545318145</v>
      </c>
      <c r="T24" s="130">
        <f t="shared" si="2"/>
        <v>0.17468798032585306</v>
      </c>
      <c r="U24" s="59">
        <f t="shared" si="3"/>
        <v>1715.9712977352797</v>
      </c>
      <c r="V24" s="9"/>
      <c r="W24" s="11">
        <f t="shared" si="20"/>
        <v>0.15538270218173597</v>
      </c>
      <c r="X24" s="11">
        <f t="shared" si="4"/>
        <v>0.76268060252074998</v>
      </c>
      <c r="Y24" s="102">
        <f t="shared" si="5"/>
        <v>0.2007377805102982</v>
      </c>
      <c r="AD24" s="28"/>
      <c r="AF24" s="28"/>
    </row>
    <row r="25" spans="1:35" x14ac:dyDescent="0.25">
      <c r="A25" s="48"/>
      <c r="B25" s="48">
        <f t="shared" si="21"/>
        <v>7</v>
      </c>
      <c r="C25" s="83">
        <f t="shared" si="6"/>
        <v>2024</v>
      </c>
      <c r="D25" s="105">
        <f t="shared" si="7"/>
        <v>21152.882537796992</v>
      </c>
      <c r="E25" s="105">
        <f>E24*(1+'Rev Forecast'!$M$53-($E$17*(B25-$B$23)))</f>
        <v>80367.996288322072</v>
      </c>
      <c r="F25" s="105">
        <f t="shared" si="8"/>
        <v>17622.003216786459</v>
      </c>
      <c r="G25" s="105">
        <f t="shared" si="9"/>
        <v>7061.7586420210446</v>
      </c>
      <c r="H25" s="105">
        <f t="shared" si="10"/>
        <v>8746.214831860927</v>
      </c>
      <c r="I25" s="105">
        <f t="shared" si="11"/>
        <v>7029.3652537548933</v>
      </c>
      <c r="J25" s="105">
        <f t="shared" si="12"/>
        <v>1457.7024719768212</v>
      </c>
      <c r="K25" s="105">
        <f t="shared" si="13"/>
        <v>1619.6694133075791</v>
      </c>
      <c r="L25" s="105">
        <f t="shared" si="14"/>
        <v>8940.5751614578367</v>
      </c>
      <c r="M25" s="59">
        <f t="shared" si="15"/>
        <v>27890.707297156507</v>
      </c>
      <c r="N25" s="105">
        <f t="shared" si="22"/>
        <v>2371.6142290150792</v>
      </c>
      <c r="O25" s="105">
        <f t="shared" si="16"/>
        <v>105375.69202979113</v>
      </c>
      <c r="P25" s="105">
        <f t="shared" si="1"/>
        <v>18407.866816123293</v>
      </c>
      <c r="Q25" s="105">
        <f t="shared" si="17"/>
        <v>12827.781753396028</v>
      </c>
      <c r="R25" s="105">
        <f t="shared" si="18"/>
        <v>92547.910276395094</v>
      </c>
      <c r="S25" s="105">
        <f t="shared" si="19"/>
        <v>5842.9000398547178</v>
      </c>
      <c r="T25" s="130">
        <f t="shared" si="2"/>
        <v>0.17468798032585295</v>
      </c>
      <c r="U25" s="59">
        <f t="shared" si="3"/>
        <v>1948.2841288889706</v>
      </c>
      <c r="V25" s="9"/>
      <c r="W25" s="11">
        <f t="shared" si="20"/>
        <v>0.13538270218173601</v>
      </c>
      <c r="X25" s="11">
        <f t="shared" si="4"/>
        <v>0.76268060252074987</v>
      </c>
      <c r="Y25" s="102">
        <f t="shared" si="5"/>
        <v>0.2007377805102982</v>
      </c>
      <c r="AD25" s="28"/>
      <c r="AF25" s="28"/>
    </row>
    <row r="26" spans="1:35" x14ac:dyDescent="0.25">
      <c r="A26" s="48"/>
      <c r="B26" s="48">
        <f t="shared" si="21"/>
        <v>8</v>
      </c>
      <c r="C26" s="83">
        <f t="shared" si="6"/>
        <v>2025</v>
      </c>
      <c r="D26" s="105">
        <f t="shared" si="7"/>
        <v>23593.559283940864</v>
      </c>
      <c r="E26" s="105">
        <f>E25*(1+'Rev Forecast'!$M$53-($E$17*(B26-$B$23)))</f>
        <v>89641.072869000403</v>
      </c>
      <c r="F26" s="105">
        <f t="shared" si="8"/>
        <v>19655.277565794524</v>
      </c>
      <c r="G26" s="105">
        <f t="shared" si="9"/>
        <v>7876.5634362926594</v>
      </c>
      <c r="H26" s="105">
        <f t="shared" si="10"/>
        <v>9755.3767330230185</v>
      </c>
      <c r="I26" s="105">
        <f t="shared" si="11"/>
        <v>7840.4324113555376</v>
      </c>
      <c r="J26" s="105">
        <f t="shared" si="12"/>
        <v>1625.8961221705033</v>
      </c>
      <c r="K26" s="105">
        <f t="shared" si="13"/>
        <v>1806.5512468561146</v>
      </c>
      <c r="L26" s="105">
        <f t="shared" si="14"/>
        <v>9972.1628826457527</v>
      </c>
      <c r="M26" s="59">
        <f t="shared" si="15"/>
        <v>31108.8124708623</v>
      </c>
      <c r="N26" s="105">
        <f t="shared" si="22"/>
        <v>2692.6897718717955</v>
      </c>
      <c r="O26" s="105">
        <f t="shared" si="16"/>
        <v>117534.22412045884</v>
      </c>
      <c r="P26" s="105">
        <f t="shared" si="1"/>
        <v>20531.816230769116</v>
      </c>
      <c r="Q26" s="105">
        <f t="shared" si="17"/>
        <v>14307.885875100428</v>
      </c>
      <c r="R26" s="105">
        <f t="shared" si="18"/>
        <v>103226.33824535841</v>
      </c>
      <c r="S26" s="105">
        <f t="shared" si="19"/>
        <v>8373.2841401014048</v>
      </c>
      <c r="T26" s="130">
        <f t="shared" si="2"/>
        <v>0.17468798032585306</v>
      </c>
      <c r="U26" s="59">
        <f t="shared" si="3"/>
        <v>2173.0824162979825</v>
      </c>
      <c r="V26" s="9"/>
      <c r="W26" s="11">
        <f t="shared" si="20"/>
        <v>0.11538270218173602</v>
      </c>
      <c r="X26" s="11">
        <f t="shared" si="4"/>
        <v>0.76268060252074987</v>
      </c>
      <c r="Y26" s="102">
        <f t="shared" si="5"/>
        <v>0.20073778051029822</v>
      </c>
      <c r="AD26" s="28"/>
      <c r="AF26" s="28"/>
    </row>
    <row r="27" spans="1:35" x14ac:dyDescent="0.25">
      <c r="A27" s="48"/>
      <c r="B27" s="48">
        <f t="shared" si="21"/>
        <v>9</v>
      </c>
      <c r="C27" s="83">
        <f t="shared" si="6"/>
        <v>2026</v>
      </c>
      <c r="D27" s="105">
        <f t="shared" si="7"/>
        <v>25843.976722528125</v>
      </c>
      <c r="E27" s="105">
        <f>E26*(1+'Rev Forecast'!$M$53-($E$17*(B27-$B$23)))</f>
        <v>98191.280625715561</v>
      </c>
      <c r="F27" s="105">
        <f t="shared" si="8"/>
        <v>21530.051052152059</v>
      </c>
      <c r="G27" s="105">
        <f t="shared" si="9"/>
        <v>8627.8513407521132</v>
      </c>
      <c r="H27" s="105">
        <f t="shared" si="10"/>
        <v>10685.870926619589</v>
      </c>
      <c r="I27" s="105">
        <f t="shared" si="11"/>
        <v>8588.274041023893</v>
      </c>
      <c r="J27" s="105">
        <f t="shared" si="12"/>
        <v>1780.9784877699317</v>
      </c>
      <c r="K27" s="105">
        <f t="shared" si="13"/>
        <v>1978.864986411035</v>
      </c>
      <c r="L27" s="105">
        <f t="shared" si="14"/>
        <v>10923.334724988914</v>
      </c>
      <c r="M27" s="59">
        <f t="shared" si="15"/>
        <v>34076.055065998029</v>
      </c>
      <c r="N27" s="105">
        <f t="shared" si="22"/>
        <v>3003.3795938874855</v>
      </c>
      <c r="O27" s="105">
        <f t="shared" si="16"/>
        <v>128744.95601590196</v>
      </c>
      <c r="P27" s="105">
        <f t="shared" si="1"/>
        <v>22490.196343558695</v>
      </c>
      <c r="Q27" s="105">
        <f t="shared" si="17"/>
        <v>15672.6106923754</v>
      </c>
      <c r="R27" s="105">
        <f t="shared" si="18"/>
        <v>113072.34532352656</v>
      </c>
      <c r="S27" s="105">
        <f t="shared" si="19"/>
        <v>11279.464448115566</v>
      </c>
      <c r="T27" s="130">
        <f t="shared" si="2"/>
        <v>0.17468798032585303</v>
      </c>
      <c r="U27" s="59">
        <f t="shared" si="3"/>
        <v>2380.3568892280964</v>
      </c>
      <c r="V27" s="9"/>
      <c r="W27" s="11">
        <f t="shared" si="20"/>
        <v>9.5382702181735959E-2</v>
      </c>
      <c r="X27" s="11">
        <f t="shared" si="4"/>
        <v>0.76268060252074998</v>
      </c>
      <c r="Y27" s="102">
        <f t="shared" si="5"/>
        <v>0.2007377805102982</v>
      </c>
      <c r="AD27" s="28"/>
      <c r="AF27" s="28"/>
    </row>
    <row r="28" spans="1:35" x14ac:dyDescent="0.25">
      <c r="A28" s="48">
        <v>0</v>
      </c>
      <c r="B28" s="48">
        <f t="shared" si="21"/>
        <v>10</v>
      </c>
      <c r="C28" s="83">
        <f t="shared" si="6"/>
        <v>2027</v>
      </c>
      <c r="D28" s="105">
        <f t="shared" si="7"/>
        <v>27792.165522994179</v>
      </c>
      <c r="E28" s="105">
        <f>E27*(1+'Rev Forecast'!$M$53-($E$17*(B28-$B$23)))</f>
        <v>105593.20468996714</v>
      </c>
      <c r="F28" s="105">
        <f t="shared" si="8"/>
        <v>23153.044478574011</v>
      </c>
      <c r="G28" s="105">
        <f t="shared" si="9"/>
        <v>9278.2420888403212</v>
      </c>
      <c r="H28" s="105">
        <f t="shared" si="10"/>
        <v>11491.400752233425</v>
      </c>
      <c r="I28" s="105">
        <f t="shared" si="11"/>
        <v>9235.681345313531</v>
      </c>
      <c r="J28" s="105">
        <f t="shared" si="12"/>
        <v>1915.2334587055711</v>
      </c>
      <c r="K28" s="105">
        <f t="shared" si="13"/>
        <v>2128.0371763395233</v>
      </c>
      <c r="L28" s="105">
        <f t="shared" si="14"/>
        <v>11746.765213394168</v>
      </c>
      <c r="M28" s="59">
        <f t="shared" si="15"/>
        <v>36644.800176566583</v>
      </c>
      <c r="N28" s="105">
        <f t="shared" si="22"/>
        <v>3289.8500552299583</v>
      </c>
      <c r="O28" s="105">
        <f t="shared" si="16"/>
        <v>138450.09869264939</v>
      </c>
      <c r="P28" s="105">
        <f t="shared" si="1"/>
        <v>24185.568116533941</v>
      </c>
      <c r="Q28" s="105">
        <f t="shared" si="17"/>
        <v>16854.054436609025</v>
      </c>
      <c r="R28" s="105">
        <f t="shared" si="18"/>
        <v>121596.04425604036</v>
      </c>
      <c r="S28" s="105">
        <f t="shared" si="19"/>
        <v>14480.425439786515</v>
      </c>
      <c r="T28" s="130">
        <f t="shared" si="2"/>
        <v>0.17468798032585298</v>
      </c>
      <c r="U28" s="59">
        <f t="shared" si="3"/>
        <v>2559.7946236950138</v>
      </c>
      <c r="V28" s="9"/>
      <c r="W28" s="11">
        <f t="shared" si="20"/>
        <v>7.5382702181735997E-2</v>
      </c>
      <c r="X28" s="11">
        <f t="shared" si="4"/>
        <v>0.76268060252074998</v>
      </c>
      <c r="Y28" s="102">
        <f t="shared" si="5"/>
        <v>0.2007377805102982</v>
      </c>
      <c r="AD28" s="28"/>
      <c r="AF28" s="28"/>
    </row>
    <row r="29" spans="1:35" x14ac:dyDescent="0.25">
      <c r="A29" s="48">
        <v>1</v>
      </c>
      <c r="B29" s="48">
        <v>11</v>
      </c>
      <c r="C29" s="83">
        <f t="shared" si="6"/>
        <v>2028</v>
      </c>
      <c r="D29" s="105">
        <f t="shared" si="7"/>
        <v>29181.773799143888</v>
      </c>
      <c r="E29" s="105">
        <f>E28*(1+$E$4)</f>
        <v>110872.8649244655</v>
      </c>
      <c r="F29" s="105">
        <f t="shared" si="8"/>
        <v>24310.696702502712</v>
      </c>
      <c r="G29" s="105">
        <f t="shared" si="9"/>
        <v>9742.1541932823366</v>
      </c>
      <c r="H29" s="105">
        <f>H$16*$E29*(1-$H$17)^B29</f>
        <v>12065.970789845096</v>
      </c>
      <c r="I29" s="105">
        <f t="shared" si="11"/>
        <v>9697.4654125792076</v>
      </c>
      <c r="J29" s="105">
        <f t="shared" si="12"/>
        <v>2010.9951316408496</v>
      </c>
      <c r="K29" s="105">
        <f t="shared" si="13"/>
        <v>2234.4390351564994</v>
      </c>
      <c r="L29" s="105">
        <f t="shared" si="14"/>
        <v>12334.103474063875</v>
      </c>
      <c r="M29" s="59">
        <f t="shared" si="15"/>
        <v>38477.040185394915</v>
      </c>
      <c r="N29" s="105">
        <f t="shared" si="22"/>
        <v>3537.8478421659256</v>
      </c>
      <c r="O29" s="105">
        <f t="shared" si="16"/>
        <v>145372.60362728187</v>
      </c>
      <c r="P29" s="105">
        <f t="shared" si="1"/>
        <v>25394.84652236064</v>
      </c>
      <c r="Q29" s="105">
        <f>Q28*(1+$E$4)</f>
        <v>17696.757158439479</v>
      </c>
      <c r="R29" s="105">
        <f>R28*(1+$E$4)</f>
        <v>127675.84646884238</v>
      </c>
      <c r="S29" s="105">
        <f t="shared" si="19"/>
        <v>18472.341587728162</v>
      </c>
      <c r="T29" s="130">
        <f t="shared" si="2"/>
        <v>0.17468798032585298</v>
      </c>
      <c r="U29" s="59">
        <f t="shared" si="3"/>
        <v>2687.7843548797646</v>
      </c>
      <c r="W29" s="11">
        <f t="shared" si="20"/>
        <v>4.9999999999999982E-2</v>
      </c>
      <c r="X29" s="11">
        <f t="shared" si="4"/>
        <v>0.76268060252074987</v>
      </c>
      <c r="Y29" s="102">
        <f t="shared" si="5"/>
        <v>0.2007377805102982</v>
      </c>
      <c r="AA29" s="82"/>
      <c r="AB29" s="82"/>
      <c r="AD29" s="28"/>
      <c r="AF29" s="28"/>
    </row>
    <row r="30" spans="1:35" x14ac:dyDescent="0.25">
      <c r="A30" s="48"/>
      <c r="B30" s="48"/>
      <c r="C30" s="83"/>
      <c r="D30" s="105"/>
      <c r="E30" s="105"/>
      <c r="F30" s="105"/>
      <c r="G30" s="105"/>
      <c r="H30" s="105"/>
      <c r="I30" s="105"/>
      <c r="J30" s="105"/>
      <c r="K30" s="105"/>
      <c r="L30" s="105"/>
      <c r="M30" s="59"/>
      <c r="N30" s="105"/>
      <c r="O30" s="105"/>
      <c r="P30" s="105"/>
      <c r="Q30" s="105"/>
      <c r="R30" s="105"/>
      <c r="S30" s="105"/>
      <c r="T30" s="130"/>
      <c r="U30" s="59"/>
      <c r="W30" s="11"/>
      <c r="X30" s="11"/>
      <c r="Y30" s="102"/>
      <c r="AA30" s="82"/>
      <c r="AB30" s="82"/>
      <c r="AD30" s="28"/>
      <c r="AF30" s="28"/>
    </row>
    <row r="31" spans="1:35" ht="17.25" x14ac:dyDescent="0.25">
      <c r="A31" s="147" t="s">
        <v>214</v>
      </c>
      <c r="B31" s="135" t="s">
        <v>266</v>
      </c>
      <c r="C31" s="83"/>
      <c r="D31" s="105"/>
      <c r="E31" s="105"/>
      <c r="F31" s="105"/>
      <c r="G31" s="105"/>
      <c r="H31" s="105"/>
      <c r="I31" s="105"/>
      <c r="J31" s="105"/>
      <c r="K31" s="105"/>
      <c r="L31" s="105"/>
      <c r="M31" s="59"/>
      <c r="N31" s="105"/>
      <c r="O31" s="105"/>
      <c r="P31" s="105"/>
      <c r="Q31" s="105"/>
      <c r="R31" s="105"/>
      <c r="S31" s="105"/>
      <c r="T31" s="130"/>
      <c r="U31" s="59"/>
      <c r="W31" s="11"/>
      <c r="X31" s="11"/>
      <c r="Y31" s="102"/>
      <c r="AA31" s="82"/>
      <c r="AB31" s="82"/>
      <c r="AD31" s="28"/>
      <c r="AF31" s="28"/>
    </row>
    <row r="32" spans="1:35" ht="17.25" x14ac:dyDescent="0.25">
      <c r="A32" s="147" t="s">
        <v>233</v>
      </c>
      <c r="B32" s="154" t="s">
        <v>275</v>
      </c>
      <c r="C32" s="83"/>
      <c r="D32" s="105"/>
      <c r="E32" s="105"/>
      <c r="F32" s="105"/>
      <c r="G32" s="105"/>
      <c r="H32" s="105"/>
      <c r="I32" s="105"/>
      <c r="J32" s="105"/>
      <c r="K32" s="105"/>
      <c r="L32" s="105"/>
      <c r="M32" s="59"/>
      <c r="N32" s="105"/>
      <c r="O32" s="105"/>
      <c r="P32" s="105"/>
      <c r="Q32" s="105"/>
      <c r="R32" s="105"/>
      <c r="S32" s="105"/>
      <c r="T32" s="130"/>
      <c r="U32" s="59"/>
      <c r="W32" s="11"/>
      <c r="X32" s="11"/>
      <c r="Y32" s="102"/>
      <c r="AA32" s="82"/>
      <c r="AB32" s="82"/>
      <c r="AD32" s="28"/>
      <c r="AF32" s="28"/>
    </row>
    <row r="33" spans="1:32" ht="17.25" x14ac:dyDescent="0.25">
      <c r="A33" s="147" t="s">
        <v>264</v>
      </c>
      <c r="B33" s="145" t="s">
        <v>234</v>
      </c>
      <c r="C33" s="83"/>
      <c r="D33" s="105"/>
      <c r="E33" s="105"/>
      <c r="F33" s="105"/>
      <c r="G33" s="105"/>
      <c r="H33" s="105"/>
      <c r="I33" s="105"/>
      <c r="J33" s="105"/>
      <c r="K33" s="105"/>
      <c r="L33" s="105"/>
      <c r="M33" s="59"/>
      <c r="N33" s="105"/>
      <c r="O33" s="105"/>
      <c r="P33" s="105"/>
      <c r="Q33" s="105"/>
      <c r="R33" s="105"/>
      <c r="S33" s="105"/>
      <c r="T33" s="130"/>
      <c r="U33" s="59"/>
      <c r="W33" s="11"/>
      <c r="X33" s="11"/>
      <c r="Y33" s="102"/>
      <c r="AA33" s="82"/>
      <c r="AB33" s="82"/>
      <c r="AD33" s="28"/>
      <c r="AF33" s="28"/>
    </row>
    <row r="34" spans="1:32" ht="17.25" x14ac:dyDescent="0.25">
      <c r="A34" s="147" t="s">
        <v>269</v>
      </c>
      <c r="B34" s="154" t="s">
        <v>270</v>
      </c>
      <c r="C34" s="78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83"/>
      <c r="V34" s="63"/>
      <c r="W34" s="63"/>
      <c r="X34" s="84"/>
      <c r="Y34" s="84"/>
      <c r="Z34" s="84"/>
      <c r="AA34" s="84"/>
      <c r="AB34" s="84"/>
    </row>
    <row r="35" spans="1:32" ht="17.25" x14ac:dyDescent="0.25">
      <c r="A35" s="147" t="s">
        <v>273</v>
      </c>
      <c r="B35" s="154" t="s">
        <v>274</v>
      </c>
      <c r="C35" s="78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83"/>
      <c r="V35" s="63"/>
      <c r="W35" s="63"/>
      <c r="X35" s="84"/>
      <c r="Y35" s="84"/>
      <c r="Z35" s="84"/>
      <c r="AA35" s="84"/>
      <c r="AB35" s="84"/>
    </row>
    <row r="36" spans="1:32" ht="17.25" x14ac:dyDescent="0.25">
      <c r="A36" s="147" t="s">
        <v>277</v>
      </c>
      <c r="B36" s="154" t="s">
        <v>278</v>
      </c>
      <c r="C36" s="78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/>
      <c r="T36" s="79"/>
      <c r="U36" s="83"/>
      <c r="V36" s="63"/>
      <c r="W36" s="63"/>
      <c r="X36" s="84"/>
      <c r="Y36" s="84"/>
      <c r="Z36" s="84"/>
      <c r="AA36" s="84"/>
      <c r="AB36" s="84"/>
    </row>
    <row r="37" spans="1:32" x14ac:dyDescent="0.25">
      <c r="M37" s="290" t="s">
        <v>129</v>
      </c>
      <c r="N37" s="290"/>
      <c r="O37" s="290"/>
      <c r="P37" s="290"/>
      <c r="Q37" s="290"/>
      <c r="R37" s="290"/>
      <c r="S37" s="161"/>
      <c r="T37" s="161"/>
      <c r="U37" s="161"/>
      <c r="V37" s="161"/>
      <c r="W37" s="133"/>
      <c r="X37" s="133"/>
      <c r="Y37" s="133"/>
    </row>
    <row r="38" spans="1:32" ht="18" x14ac:dyDescent="0.35">
      <c r="C38" s="287" t="s">
        <v>303</v>
      </c>
      <c r="D38" s="287"/>
      <c r="E38" s="287"/>
      <c r="F38" s="287"/>
      <c r="G38" s="296" t="s">
        <v>126</v>
      </c>
      <c r="H38" s="296"/>
      <c r="I38" s="296"/>
      <c r="J38" s="297" t="s">
        <v>130</v>
      </c>
      <c r="K38" s="297"/>
      <c r="L38" s="297"/>
      <c r="M38" s="298" t="s">
        <v>131</v>
      </c>
      <c r="N38" s="298"/>
      <c r="O38" s="298"/>
      <c r="P38" s="298" t="s">
        <v>132</v>
      </c>
      <c r="Q38" s="298"/>
      <c r="R38" s="298"/>
      <c r="S38" s="299" t="s">
        <v>293</v>
      </c>
      <c r="T38" s="299"/>
      <c r="U38" s="299"/>
      <c r="V38" s="300" t="s">
        <v>294</v>
      </c>
      <c r="W38" s="300"/>
      <c r="X38" s="300"/>
      <c r="Y38" s="301" t="s">
        <v>295</v>
      </c>
      <c r="Z38" s="301"/>
      <c r="AA38" s="301"/>
    </row>
    <row r="39" spans="1:32" ht="33" x14ac:dyDescent="0.35">
      <c r="C39" s="85" t="s">
        <v>120</v>
      </c>
      <c r="D39" s="85" t="s">
        <v>133</v>
      </c>
      <c r="E39" s="85" t="s">
        <v>134</v>
      </c>
      <c r="F39" s="85" t="s">
        <v>135</v>
      </c>
      <c r="G39" s="86" t="s">
        <v>126</v>
      </c>
      <c r="H39" s="86" t="s">
        <v>136</v>
      </c>
      <c r="I39" s="86" t="s">
        <v>137</v>
      </c>
      <c r="J39" s="87" t="s">
        <v>126</v>
      </c>
      <c r="K39" s="87" t="s">
        <v>138</v>
      </c>
      <c r="L39" s="87" t="s">
        <v>139</v>
      </c>
      <c r="M39" s="88" t="s">
        <v>126</v>
      </c>
      <c r="N39" s="88" t="s">
        <v>140</v>
      </c>
      <c r="O39" s="88" t="s">
        <v>141</v>
      </c>
      <c r="P39" s="88" t="s">
        <v>142</v>
      </c>
      <c r="Q39" s="88" t="s">
        <v>143</v>
      </c>
      <c r="R39" s="88" t="s">
        <v>144</v>
      </c>
      <c r="S39" s="89" t="s">
        <v>126</v>
      </c>
      <c r="T39" s="89" t="s">
        <v>145</v>
      </c>
      <c r="U39" s="89" t="s">
        <v>146</v>
      </c>
      <c r="V39" s="90" t="s">
        <v>126</v>
      </c>
      <c r="W39" s="90" t="s">
        <v>147</v>
      </c>
      <c r="X39" s="90" t="s">
        <v>148</v>
      </c>
      <c r="Y39" s="91" t="s">
        <v>126</v>
      </c>
      <c r="Z39" s="91" t="s">
        <v>149</v>
      </c>
      <c r="AA39" s="91" t="s">
        <v>150</v>
      </c>
    </row>
    <row r="40" spans="1:32" x14ac:dyDescent="0.25">
      <c r="C40" s="92">
        <f>C14</f>
        <v>2017</v>
      </c>
      <c r="D40" s="162">
        <f>U14</f>
        <v>601.44499639291359</v>
      </c>
      <c r="E40" s="163"/>
      <c r="F40" s="160"/>
      <c r="G40" s="164">
        <f>S14</f>
        <v>1912.5999999999985</v>
      </c>
      <c r="H40" s="164"/>
      <c r="I40" s="164"/>
      <c r="J40" s="165">
        <f>S14</f>
        <v>1912.5999999999985</v>
      </c>
      <c r="K40" s="165"/>
      <c r="L40" s="165"/>
      <c r="M40" s="166">
        <f>S14</f>
        <v>1912.5999999999985</v>
      </c>
      <c r="N40" s="167"/>
      <c r="O40" s="167"/>
      <c r="P40" s="166">
        <f>N14*$E$7</f>
        <v>329.8</v>
      </c>
      <c r="Q40" s="167"/>
      <c r="R40" s="167"/>
      <c r="S40" s="168">
        <f>S14</f>
        <v>1912.5999999999985</v>
      </c>
      <c r="T40" s="169"/>
      <c r="U40" s="169"/>
      <c r="V40" s="170">
        <f>S14</f>
        <v>1912.5999999999985</v>
      </c>
      <c r="W40" s="171"/>
      <c r="X40" s="171"/>
      <c r="Y40" s="172">
        <f>S14</f>
        <v>1912.5999999999985</v>
      </c>
      <c r="Z40" s="173"/>
      <c r="AA40" s="173"/>
    </row>
    <row r="41" spans="1:32" x14ac:dyDescent="0.25">
      <c r="B41">
        <v>1</v>
      </c>
      <c r="C41" s="92">
        <f>C19</f>
        <v>2018</v>
      </c>
      <c r="D41" s="162">
        <f>U19</f>
        <v>704.7451744916433</v>
      </c>
      <c r="E41" s="163">
        <f t="shared" ref="E41:E44" si="23">D41/((1+$E$8)^$B41)</f>
        <v>609.53620073657692</v>
      </c>
      <c r="F41" s="163">
        <f>E41</f>
        <v>609.53620073657692</v>
      </c>
      <c r="G41" s="164">
        <f>S19</f>
        <v>1071.4697750906907</v>
      </c>
      <c r="H41" s="164">
        <f>G41/((1+$E$8)^$B41)</f>
        <v>926.71740020633297</v>
      </c>
      <c r="I41" s="164">
        <f>H41</f>
        <v>926.71740020633297</v>
      </c>
      <c r="J41" s="165">
        <f>S19</f>
        <v>1071.4697750906907</v>
      </c>
      <c r="K41" s="165">
        <f>J41/((1+$E$8)^$B41)</f>
        <v>926.71740020633297</v>
      </c>
      <c r="L41" s="165">
        <f>K41</f>
        <v>926.71740020633297</v>
      </c>
      <c r="M41" s="166">
        <f>S19</f>
        <v>1071.4697750906907</v>
      </c>
      <c r="N41" s="166">
        <f>S19/((1+$I$7)^$B19)</f>
        <v>904.95758031308344</v>
      </c>
      <c r="O41" s="166">
        <f>N41</f>
        <v>904.95758031308344</v>
      </c>
      <c r="P41" s="166">
        <f>N19*$E$7</f>
        <v>282.62388451443576</v>
      </c>
      <c r="Q41" s="166">
        <f>P41/((1+$M$7)^$B41)</f>
        <v>251.77401451581318</v>
      </c>
      <c r="R41" s="166">
        <f>Q41</f>
        <v>251.77401451581318</v>
      </c>
      <c r="S41" s="168">
        <f>S19</f>
        <v>1071.4697750906907</v>
      </c>
      <c r="T41" s="168">
        <f t="shared" ref="T41:T43" si="24">S41/((1+$E$8)^$B41)</f>
        <v>926.71740020633297</v>
      </c>
      <c r="U41" s="168">
        <f>T41</f>
        <v>926.71740020633297</v>
      </c>
      <c r="V41" s="170">
        <f>S19</f>
        <v>1071.4697750906907</v>
      </c>
      <c r="W41" s="168">
        <f>V41/((1+$E$8)^$B41)</f>
        <v>926.71740020633297</v>
      </c>
      <c r="X41" s="168">
        <f>W41</f>
        <v>926.71740020633297</v>
      </c>
      <c r="Y41" s="172">
        <f>S19</f>
        <v>1071.4697750906907</v>
      </c>
      <c r="Z41" s="172">
        <f>Y41/((1+$E$8)^B41)</f>
        <v>926.71740020633297</v>
      </c>
      <c r="AA41" s="168">
        <f>Z41</f>
        <v>926.71740020633297</v>
      </c>
    </row>
    <row r="42" spans="1:32" x14ac:dyDescent="0.25">
      <c r="B42">
        <f>B41+1</f>
        <v>2</v>
      </c>
      <c r="C42" s="92">
        <f>C20</f>
        <v>2019</v>
      </c>
      <c r="D42" s="162">
        <f>U20</f>
        <v>876.83904824087006</v>
      </c>
      <c r="E42" s="163">
        <f t="shared" si="23"/>
        <v>655.92573065546071</v>
      </c>
      <c r="F42" s="163">
        <f>F41+E42</f>
        <v>1265.4619313920375</v>
      </c>
      <c r="G42" s="164">
        <f>S20</f>
        <v>-1023.3490031842066</v>
      </c>
      <c r="H42" s="164">
        <f t="shared" ref="H42:H49" si="25">G42/((1+$E$8)^$B42)</f>
        <v>-765.5235518716845</v>
      </c>
      <c r="I42" s="164">
        <f>I41+H42</f>
        <v>161.19384833464846</v>
      </c>
      <c r="J42" s="165">
        <f>S20</f>
        <v>-1023.3490031842066</v>
      </c>
      <c r="K42" s="165">
        <f t="shared" ref="K42:K50" si="26">J42/((1+$E$8)^$B42)</f>
        <v>-765.5235518716845</v>
      </c>
      <c r="L42" s="165">
        <f>L41+K42</f>
        <v>161.19384833464846</v>
      </c>
      <c r="M42" s="166">
        <f>S20</f>
        <v>-1023.3490031842066</v>
      </c>
      <c r="N42" s="166">
        <f t="shared" ref="N42:N50" si="27">S20/((1+$I$7)^$B20)</f>
        <v>-729.99580783205033</v>
      </c>
      <c r="O42" s="166">
        <f>O41+N42</f>
        <v>174.96177248103311</v>
      </c>
      <c r="P42" s="166">
        <f>N20*$E$7</f>
        <v>331.16547648109889</v>
      </c>
      <c r="Q42" s="166">
        <f t="shared" ref="Q42:Q50" si="28">P42/((1+$M$7)^$B42)</f>
        <v>262.81439135346216</v>
      </c>
      <c r="R42" s="166">
        <f>R41+Q42</f>
        <v>514.58840586927533</v>
      </c>
      <c r="S42" s="168">
        <f>S20</f>
        <v>-1023.3490031842066</v>
      </c>
      <c r="T42" s="168">
        <f t="shared" si="24"/>
        <v>-765.5235518716845</v>
      </c>
      <c r="U42" s="168">
        <f>U41+T42</f>
        <v>161.19384833464846</v>
      </c>
      <c r="V42" s="170">
        <f t="shared" ref="V42:V50" si="29">S20</f>
        <v>-1023.3490031842066</v>
      </c>
      <c r="W42" s="168">
        <f t="shared" ref="W42:W50" si="30">V42/((1+$E$8)^$B42)</f>
        <v>-765.5235518716845</v>
      </c>
      <c r="X42" s="168">
        <f>X41+W42</f>
        <v>161.19384833464846</v>
      </c>
      <c r="Y42" s="172">
        <f t="shared" ref="Y42:Y50" si="31">S20</f>
        <v>-1023.3490031842066</v>
      </c>
      <c r="Z42" s="172">
        <f t="shared" ref="Z42:Z50" si="32">Y42/((1+$E$8)^B42)</f>
        <v>-765.5235518716845</v>
      </c>
      <c r="AA42" s="168">
        <f>AA41+Z42</f>
        <v>161.19384833464846</v>
      </c>
    </row>
    <row r="43" spans="1:32" x14ac:dyDescent="0.25">
      <c r="B43">
        <f t="shared" ref="B43:B50" si="33">B42+1</f>
        <v>3</v>
      </c>
      <c r="C43" s="92">
        <f>C21</f>
        <v>2020</v>
      </c>
      <c r="D43" s="162">
        <f>U21</f>
        <v>1062.5367961850297</v>
      </c>
      <c r="E43" s="163">
        <f t="shared" si="23"/>
        <v>687.45797973386311</v>
      </c>
      <c r="F43" s="163">
        <f t="shared" ref="F43:F50" si="34">F42+E43</f>
        <v>1952.9199111259006</v>
      </c>
      <c r="G43" s="164">
        <f>S21</f>
        <v>-4.6157880422488233</v>
      </c>
      <c r="H43" s="164">
        <f t="shared" si="25"/>
        <v>-2.9864004087172584</v>
      </c>
      <c r="I43" s="164">
        <f t="shared" ref="I43:I50" si="35">I42+H43</f>
        <v>158.20744792593121</v>
      </c>
      <c r="J43" s="165">
        <f>S21</f>
        <v>-4.6157880422488233</v>
      </c>
      <c r="K43" s="165">
        <f t="shared" si="26"/>
        <v>-2.9864004087172584</v>
      </c>
      <c r="L43" s="165">
        <f t="shared" ref="L43:L50" si="36">L42+K43</f>
        <v>158.20744792593121</v>
      </c>
      <c r="M43" s="166">
        <f>S21</f>
        <v>-4.6157880422488233</v>
      </c>
      <c r="N43" s="166">
        <f t="shared" si="27"/>
        <v>-2.7809344399693856</v>
      </c>
      <c r="O43" s="166">
        <f>O42+N43</f>
        <v>172.18083804106374</v>
      </c>
      <c r="P43" s="166">
        <f>N21*$E$7</f>
        <v>412.03378429285669</v>
      </c>
      <c r="Q43" s="166">
        <f t="shared" si="28"/>
        <v>291.29897571175206</v>
      </c>
      <c r="R43" s="166">
        <f t="shared" ref="R43:R44" si="37">R42+Q43</f>
        <v>805.8873815810274</v>
      </c>
      <c r="S43" s="168">
        <f>S21</f>
        <v>-4.6157880422488233</v>
      </c>
      <c r="T43" s="168">
        <f t="shared" si="24"/>
        <v>-2.9864004087172584</v>
      </c>
      <c r="U43" s="168">
        <f>U42+T43</f>
        <v>158.20744792593121</v>
      </c>
      <c r="V43" s="170">
        <f t="shared" si="29"/>
        <v>-4.6157880422488233</v>
      </c>
      <c r="W43" s="168">
        <f t="shared" si="30"/>
        <v>-2.9864004087172584</v>
      </c>
      <c r="X43" s="168">
        <f>X42+W43</f>
        <v>158.20744792593121</v>
      </c>
      <c r="Y43" s="172">
        <f t="shared" si="31"/>
        <v>-4.6157880422488233</v>
      </c>
      <c r="Z43" s="172">
        <f t="shared" si="32"/>
        <v>-2.9864004087172584</v>
      </c>
      <c r="AA43" s="168">
        <f>AA42+Z43</f>
        <v>158.20744792593121</v>
      </c>
    </row>
    <row r="44" spans="1:32" x14ac:dyDescent="0.25">
      <c r="B44">
        <f t="shared" si="33"/>
        <v>4</v>
      </c>
      <c r="C44" s="92">
        <f>C22</f>
        <v>2021</v>
      </c>
      <c r="D44" s="162">
        <f>U22</f>
        <v>1266.5622544322841</v>
      </c>
      <c r="E44" s="163">
        <f t="shared" si="23"/>
        <v>708.75496250042352</v>
      </c>
      <c r="F44" s="163">
        <f t="shared" si="34"/>
        <v>2661.6748736263244</v>
      </c>
      <c r="G44" s="164">
        <f>S22</f>
        <v>931.78680280782282</v>
      </c>
      <c r="H44" s="164">
        <f t="shared" si="25"/>
        <v>521.41812861655615</v>
      </c>
      <c r="I44" s="164">
        <f t="shared" si="35"/>
        <v>679.62557654248735</v>
      </c>
      <c r="J44" s="165">
        <f>S22</f>
        <v>931.78680280782282</v>
      </c>
      <c r="K44" s="165">
        <f t="shared" si="26"/>
        <v>521.41812861655615</v>
      </c>
      <c r="L44" s="165">
        <f t="shared" si="36"/>
        <v>679.62557654248735</v>
      </c>
      <c r="M44" s="166">
        <f>S22</f>
        <v>931.78680280782282</v>
      </c>
      <c r="N44" s="166">
        <f t="shared" si="27"/>
        <v>474.14343922646776</v>
      </c>
      <c r="O44" s="166">
        <f>O43+N44</f>
        <v>646.32427726753144</v>
      </c>
      <c r="P44" s="166">
        <f>N22*$E$7</f>
        <v>499.2946629838728</v>
      </c>
      <c r="Q44" s="166">
        <f t="shared" si="28"/>
        <v>314.45977392544143</v>
      </c>
      <c r="R44" s="166">
        <f t="shared" si="37"/>
        <v>1120.3471555064689</v>
      </c>
      <c r="S44" s="168">
        <f>S22</f>
        <v>931.78680280782282</v>
      </c>
      <c r="T44" s="168">
        <f>S44/((1+$E$8)^$B44)</f>
        <v>521.41812861655615</v>
      </c>
      <c r="U44" s="168">
        <f>U43+T44</f>
        <v>679.62557654248735</v>
      </c>
      <c r="V44" s="170">
        <f t="shared" si="29"/>
        <v>931.78680280782282</v>
      </c>
      <c r="W44" s="168">
        <f t="shared" si="30"/>
        <v>521.41812861655615</v>
      </c>
      <c r="X44" s="168">
        <f>X43+W44</f>
        <v>679.62557654248735</v>
      </c>
      <c r="Y44" s="172">
        <f t="shared" si="31"/>
        <v>931.78680280782282</v>
      </c>
      <c r="Z44" s="172">
        <f t="shared" si="32"/>
        <v>521.41812861655615</v>
      </c>
      <c r="AA44" s="168">
        <f>AA43+Z44</f>
        <v>679.62557654248735</v>
      </c>
    </row>
    <row r="45" spans="1:32" x14ac:dyDescent="0.25">
      <c r="B45">
        <f t="shared" si="33"/>
        <v>5</v>
      </c>
      <c r="C45" s="92">
        <f t="shared" ref="C45:C49" si="38">C23</f>
        <v>2022</v>
      </c>
      <c r="D45" s="162">
        <f t="shared" ref="D45:D49" si="39">U23</f>
        <v>1485.1973242242277</v>
      </c>
      <c r="E45" s="163">
        <f t="shared" ref="E45:E49" si="40">D45/((1+$E$8)^$B45)</f>
        <v>718.82160606594334</v>
      </c>
      <c r="F45" s="163">
        <f t="shared" si="34"/>
        <v>3380.4964796922677</v>
      </c>
      <c r="G45" s="164">
        <f t="shared" ref="G45:G50" si="41">S23</f>
        <v>2207.3232004032761</v>
      </c>
      <c r="H45" s="164">
        <f t="shared" si="25"/>
        <v>1068.3237722969081</v>
      </c>
      <c r="I45" s="164">
        <f t="shared" si="35"/>
        <v>1747.9493488393955</v>
      </c>
      <c r="J45" s="165">
        <f t="shared" ref="J45:J49" si="42">S23</f>
        <v>2207.3232004032761</v>
      </c>
      <c r="K45" s="165">
        <f t="shared" si="26"/>
        <v>1068.3237722969081</v>
      </c>
      <c r="L45" s="165">
        <f t="shared" si="36"/>
        <v>1747.9493488393955</v>
      </c>
      <c r="M45" s="166">
        <f t="shared" ref="M45:M50" si="43">S23</f>
        <v>2207.3232004032761</v>
      </c>
      <c r="N45" s="166">
        <f t="shared" si="27"/>
        <v>948.65306910965353</v>
      </c>
      <c r="O45" s="166">
        <f t="shared" ref="O45:O50" si="44">O44+N45</f>
        <v>1594.9773463771849</v>
      </c>
      <c r="P45" s="166">
        <f t="shared" ref="P45:P50" si="45">N23*$E$7</f>
        <v>595.16788147517263</v>
      </c>
      <c r="Q45" s="166">
        <f t="shared" si="28"/>
        <v>333.92559136471715</v>
      </c>
      <c r="R45" s="166">
        <f t="shared" ref="R45:R50" si="46">R44+Q45</f>
        <v>1454.272746871186</v>
      </c>
      <c r="S45" s="168">
        <f t="shared" ref="S45:S50" si="47">S23</f>
        <v>2207.3232004032761</v>
      </c>
      <c r="T45" s="168">
        <f t="shared" ref="T45:T50" si="48">S45/((1+$E$8)^$B45)</f>
        <v>1068.3237722969081</v>
      </c>
      <c r="U45" s="168">
        <f t="shared" ref="U45:U50" si="49">U44+T45</f>
        <v>1747.9493488393955</v>
      </c>
      <c r="V45" s="170">
        <f t="shared" si="29"/>
        <v>2207.3232004032761</v>
      </c>
      <c r="W45" s="168">
        <f t="shared" si="30"/>
        <v>1068.3237722969081</v>
      </c>
      <c r="X45" s="168">
        <f t="shared" ref="X45:X50" si="50">X44+W45</f>
        <v>1747.9493488393955</v>
      </c>
      <c r="Y45" s="172">
        <f t="shared" si="31"/>
        <v>2207.3232004032761</v>
      </c>
      <c r="Z45" s="172">
        <f t="shared" si="32"/>
        <v>1068.3237722969081</v>
      </c>
      <c r="AA45" s="168">
        <f t="shared" ref="AA45:AA50" si="51">AA44+Z45</f>
        <v>1747.9493488393955</v>
      </c>
    </row>
    <row r="46" spans="1:32" x14ac:dyDescent="0.25">
      <c r="B46">
        <f t="shared" si="33"/>
        <v>6</v>
      </c>
      <c r="C46" s="92">
        <f t="shared" si="38"/>
        <v>2023</v>
      </c>
      <c r="D46" s="162">
        <f t="shared" si="39"/>
        <v>1715.9712977352797</v>
      </c>
      <c r="E46" s="163">
        <f t="shared" si="40"/>
        <v>718.31407546504352</v>
      </c>
      <c r="F46" s="163">
        <f t="shared" si="34"/>
        <v>4098.8105551573117</v>
      </c>
      <c r="G46" s="164">
        <f t="shared" si="41"/>
        <v>3731.1826545318145</v>
      </c>
      <c r="H46" s="164">
        <f t="shared" si="25"/>
        <v>1561.8915202244202</v>
      </c>
      <c r="I46" s="164">
        <f t="shared" si="35"/>
        <v>3309.8408690638157</v>
      </c>
      <c r="J46" s="165">
        <f t="shared" si="42"/>
        <v>3731.1826545318145</v>
      </c>
      <c r="K46" s="165">
        <f t="shared" si="26"/>
        <v>1561.8915202244202</v>
      </c>
      <c r="L46" s="165">
        <f t="shared" si="36"/>
        <v>3309.8408690638157</v>
      </c>
      <c r="M46" s="166">
        <f t="shared" si="43"/>
        <v>3731.1826545318145</v>
      </c>
      <c r="N46" s="166">
        <f t="shared" si="27"/>
        <v>1354.3667882865009</v>
      </c>
      <c r="O46" s="166">
        <f t="shared" si="44"/>
        <v>2949.3441346636855</v>
      </c>
      <c r="P46" s="166">
        <f t="shared" si="45"/>
        <v>697.90627498791503</v>
      </c>
      <c r="Q46" s="166">
        <f t="shared" si="28"/>
        <v>348.82641464044519</v>
      </c>
      <c r="R46" s="166">
        <f t="shared" si="46"/>
        <v>1803.0991615116311</v>
      </c>
      <c r="S46" s="168">
        <f t="shared" si="47"/>
        <v>3731.1826545318145</v>
      </c>
      <c r="T46" s="168">
        <f t="shared" si="48"/>
        <v>1561.8915202244202</v>
      </c>
      <c r="U46" s="168">
        <f t="shared" si="49"/>
        <v>3309.8408690638157</v>
      </c>
      <c r="V46" s="170">
        <f t="shared" si="29"/>
        <v>3731.1826545318145</v>
      </c>
      <c r="W46" s="168">
        <f t="shared" si="30"/>
        <v>1561.8915202244202</v>
      </c>
      <c r="X46" s="168">
        <f t="shared" si="50"/>
        <v>3309.8408690638157</v>
      </c>
      <c r="Y46" s="172">
        <f t="shared" si="31"/>
        <v>3731.1826545318145</v>
      </c>
      <c r="Z46" s="172">
        <f t="shared" si="32"/>
        <v>1561.8915202244202</v>
      </c>
      <c r="AA46" s="168">
        <f t="shared" si="51"/>
        <v>3309.8408690638157</v>
      </c>
    </row>
    <row r="47" spans="1:32" x14ac:dyDescent="0.25">
      <c r="B47">
        <f t="shared" si="33"/>
        <v>7</v>
      </c>
      <c r="C47" s="92">
        <f t="shared" si="38"/>
        <v>2024</v>
      </c>
      <c r="D47" s="162">
        <f t="shared" si="39"/>
        <v>1948.2841288889706</v>
      </c>
      <c r="E47" s="163">
        <f t="shared" si="40"/>
        <v>705.38146353862203</v>
      </c>
      <c r="F47" s="163">
        <f t="shared" si="34"/>
        <v>4804.1920186959342</v>
      </c>
      <c r="G47" s="164">
        <f t="shared" si="41"/>
        <v>5842.9000398547178</v>
      </c>
      <c r="H47" s="164">
        <f t="shared" si="25"/>
        <v>2115.4375382470048</v>
      </c>
      <c r="I47" s="164">
        <f t="shared" si="35"/>
        <v>5425.2784073108205</v>
      </c>
      <c r="J47" s="165">
        <f t="shared" si="42"/>
        <v>5842.9000398547178</v>
      </c>
      <c r="K47" s="165">
        <f t="shared" si="26"/>
        <v>2115.4375382470048</v>
      </c>
      <c r="L47" s="165">
        <f t="shared" si="36"/>
        <v>5425.2784073108205</v>
      </c>
      <c r="M47" s="166">
        <f t="shared" si="43"/>
        <v>5842.9000398547178</v>
      </c>
      <c r="N47" s="166">
        <f t="shared" si="27"/>
        <v>1791.2926328985625</v>
      </c>
      <c r="O47" s="166">
        <f t="shared" si="44"/>
        <v>4740.6367675622478</v>
      </c>
      <c r="P47" s="166">
        <f t="shared" si="45"/>
        <v>806.34883786512694</v>
      </c>
      <c r="Q47" s="166">
        <f t="shared" si="28"/>
        <v>359.03539819839489</v>
      </c>
      <c r="R47" s="166">
        <f t="shared" si="46"/>
        <v>2162.1345597100262</v>
      </c>
      <c r="S47" s="168">
        <f t="shared" si="47"/>
        <v>5842.9000398547178</v>
      </c>
      <c r="T47" s="168">
        <f t="shared" si="48"/>
        <v>2115.4375382470048</v>
      </c>
      <c r="U47" s="168">
        <f t="shared" si="49"/>
        <v>5425.2784073108205</v>
      </c>
      <c r="V47" s="170">
        <f t="shared" si="29"/>
        <v>5842.9000398547178</v>
      </c>
      <c r="W47" s="168">
        <f t="shared" si="30"/>
        <v>2115.4375382470048</v>
      </c>
      <c r="X47" s="168">
        <f t="shared" si="50"/>
        <v>5425.2784073108205</v>
      </c>
      <c r="Y47" s="172">
        <f t="shared" si="31"/>
        <v>5842.9000398547178</v>
      </c>
      <c r="Z47" s="172">
        <f t="shared" si="32"/>
        <v>2115.4375382470048</v>
      </c>
      <c r="AA47" s="168">
        <f t="shared" si="51"/>
        <v>5425.2784073108205</v>
      </c>
    </row>
    <row r="48" spans="1:32" x14ac:dyDescent="0.25">
      <c r="B48">
        <f t="shared" si="33"/>
        <v>8</v>
      </c>
      <c r="C48" s="92">
        <f t="shared" si="38"/>
        <v>2025</v>
      </c>
      <c r="D48" s="162">
        <f t="shared" si="39"/>
        <v>2173.0824162979825</v>
      </c>
      <c r="E48" s="163">
        <f t="shared" si="40"/>
        <v>680.47996131272066</v>
      </c>
      <c r="F48" s="163">
        <f t="shared" si="34"/>
        <v>5484.6719800086548</v>
      </c>
      <c r="G48" s="164">
        <f t="shared" si="41"/>
        <v>8373.2841401014048</v>
      </c>
      <c r="H48" s="164">
        <f t="shared" si="25"/>
        <v>2622.0137924742689</v>
      </c>
      <c r="I48" s="164">
        <f t="shared" si="35"/>
        <v>8047.2921997850899</v>
      </c>
      <c r="J48" s="165">
        <f t="shared" si="42"/>
        <v>8373.2841401014048</v>
      </c>
      <c r="K48" s="165">
        <f t="shared" si="26"/>
        <v>2622.0137924742689</v>
      </c>
      <c r="L48" s="165">
        <f t="shared" si="36"/>
        <v>8047.2921997850899</v>
      </c>
      <c r="M48" s="166">
        <f t="shared" si="43"/>
        <v>8373.2841401014048</v>
      </c>
      <c r="N48" s="166">
        <f t="shared" si="27"/>
        <v>2168.114479178048</v>
      </c>
      <c r="O48" s="166">
        <f t="shared" si="44"/>
        <v>6908.7512467402958</v>
      </c>
      <c r="P48" s="166">
        <f t="shared" si="45"/>
        <v>915.51452243641052</v>
      </c>
      <c r="Q48" s="166">
        <f t="shared" si="28"/>
        <v>363.14626832725122</v>
      </c>
      <c r="R48" s="166">
        <f t="shared" si="46"/>
        <v>2525.2808280372774</v>
      </c>
      <c r="S48" s="168">
        <f t="shared" si="47"/>
        <v>8373.2841401014048</v>
      </c>
      <c r="T48" s="168">
        <f t="shared" si="48"/>
        <v>2622.0137924742689</v>
      </c>
      <c r="U48" s="168">
        <f t="shared" si="49"/>
        <v>8047.2921997850899</v>
      </c>
      <c r="V48" s="170">
        <f t="shared" si="29"/>
        <v>8373.2841401014048</v>
      </c>
      <c r="W48" s="168">
        <f t="shared" si="30"/>
        <v>2622.0137924742689</v>
      </c>
      <c r="X48" s="168">
        <f t="shared" si="50"/>
        <v>8047.2921997850899</v>
      </c>
      <c r="Y48" s="172">
        <f t="shared" si="31"/>
        <v>8373.2841401014048</v>
      </c>
      <c r="Z48" s="172">
        <f t="shared" si="32"/>
        <v>2622.0137924742689</v>
      </c>
      <c r="AA48" s="168">
        <f t="shared" si="51"/>
        <v>8047.2921997850899</v>
      </c>
    </row>
    <row r="49" spans="2:28" x14ac:dyDescent="0.25">
      <c r="B49">
        <f t="shared" si="33"/>
        <v>9</v>
      </c>
      <c r="C49" s="92">
        <f t="shared" si="38"/>
        <v>2026</v>
      </c>
      <c r="D49" s="162">
        <f t="shared" si="39"/>
        <v>2380.3568892280964</v>
      </c>
      <c r="E49" s="163">
        <f t="shared" si="40"/>
        <v>644.68655344788749</v>
      </c>
      <c r="F49" s="163">
        <f t="shared" si="34"/>
        <v>6129.3585334565423</v>
      </c>
      <c r="G49" s="164">
        <f t="shared" si="41"/>
        <v>11279.464448115566</v>
      </c>
      <c r="H49" s="164">
        <f t="shared" si="25"/>
        <v>3054.886052045616</v>
      </c>
      <c r="I49" s="164">
        <f t="shared" si="35"/>
        <v>11102.178251830706</v>
      </c>
      <c r="J49" s="165">
        <f t="shared" si="42"/>
        <v>11279.464448115566</v>
      </c>
      <c r="K49" s="165">
        <f t="shared" si="26"/>
        <v>3054.886052045616</v>
      </c>
      <c r="L49" s="165">
        <f t="shared" si="36"/>
        <v>11102.178251830706</v>
      </c>
      <c r="M49" s="166">
        <f t="shared" si="43"/>
        <v>11279.464448115566</v>
      </c>
      <c r="N49" s="166">
        <f t="shared" si="27"/>
        <v>2466.7387615801749</v>
      </c>
      <c r="O49" s="166">
        <f t="shared" si="44"/>
        <v>9375.4900083204702</v>
      </c>
      <c r="P49" s="166">
        <f t="shared" si="45"/>
        <v>1021.1490619217451</v>
      </c>
      <c r="Q49" s="166">
        <f t="shared" si="28"/>
        <v>360.83406773454891</v>
      </c>
      <c r="R49" s="166">
        <f t="shared" si="46"/>
        <v>2886.1148957718265</v>
      </c>
      <c r="S49" s="168">
        <f t="shared" si="47"/>
        <v>11279.464448115566</v>
      </c>
      <c r="T49" s="168">
        <f t="shared" si="48"/>
        <v>3054.886052045616</v>
      </c>
      <c r="U49" s="168">
        <f t="shared" si="49"/>
        <v>11102.178251830706</v>
      </c>
      <c r="V49" s="170">
        <f t="shared" si="29"/>
        <v>11279.464448115566</v>
      </c>
      <c r="W49" s="168">
        <f t="shared" si="30"/>
        <v>3054.886052045616</v>
      </c>
      <c r="X49" s="168">
        <f t="shared" si="50"/>
        <v>11102.178251830706</v>
      </c>
      <c r="Y49" s="172">
        <f t="shared" si="31"/>
        <v>11279.464448115566</v>
      </c>
      <c r="Z49" s="172">
        <f t="shared" si="32"/>
        <v>3054.886052045616</v>
      </c>
      <c r="AA49" s="168">
        <f t="shared" si="51"/>
        <v>11102.178251830706</v>
      </c>
    </row>
    <row r="50" spans="2:28" x14ac:dyDescent="0.25">
      <c r="B50">
        <f t="shared" si="33"/>
        <v>10</v>
      </c>
      <c r="C50" s="92">
        <f>C28</f>
        <v>2027</v>
      </c>
      <c r="D50" s="162">
        <f>U28</f>
        <v>2559.7946236950138</v>
      </c>
      <c r="E50" s="163">
        <f>D50/((1+$E$8)^B50)</f>
        <v>599.62406094288713</v>
      </c>
      <c r="F50" s="163">
        <f t="shared" si="34"/>
        <v>6728.9825943994292</v>
      </c>
      <c r="G50" s="164">
        <f t="shared" si="41"/>
        <v>14480.425439786515</v>
      </c>
      <c r="H50" s="164">
        <f>G50/((1+$E$8)^B50)</f>
        <v>3391.9953679143264</v>
      </c>
      <c r="I50" s="164">
        <f t="shared" si="35"/>
        <v>14494.173619745034</v>
      </c>
      <c r="J50" s="165">
        <f>S28</f>
        <v>14480.425439786515</v>
      </c>
      <c r="K50" s="165">
        <f t="shared" si="26"/>
        <v>3391.9953679143264</v>
      </c>
      <c r="L50" s="165">
        <f t="shared" si="36"/>
        <v>14494.173619745034</v>
      </c>
      <c r="M50" s="166">
        <f t="shared" si="43"/>
        <v>14480.425439786515</v>
      </c>
      <c r="N50" s="166">
        <f t="shared" si="27"/>
        <v>2674.6336109785739</v>
      </c>
      <c r="O50" s="166">
        <f t="shared" si="44"/>
        <v>12050.123619299044</v>
      </c>
      <c r="P50" s="166">
        <f t="shared" si="45"/>
        <v>1118.5490187781859</v>
      </c>
      <c r="Q50" s="166">
        <f t="shared" si="28"/>
        <v>352.1076462582717</v>
      </c>
      <c r="R50" s="166">
        <f t="shared" si="46"/>
        <v>3238.2225420300983</v>
      </c>
      <c r="S50" s="168">
        <f t="shared" si="47"/>
        <v>14480.425439786515</v>
      </c>
      <c r="T50" s="168">
        <f t="shared" si="48"/>
        <v>3391.9953679143264</v>
      </c>
      <c r="U50" s="168">
        <f t="shared" si="49"/>
        <v>14494.173619745034</v>
      </c>
      <c r="V50" s="170">
        <f t="shared" si="29"/>
        <v>14480.425439786515</v>
      </c>
      <c r="W50" s="168">
        <f t="shared" si="30"/>
        <v>3391.9953679143264</v>
      </c>
      <c r="X50" s="168">
        <f t="shared" si="50"/>
        <v>14494.173619745034</v>
      </c>
      <c r="Y50" s="172">
        <f t="shared" si="31"/>
        <v>14480.425439786515</v>
      </c>
      <c r="Z50" s="172">
        <f t="shared" si="32"/>
        <v>3391.9953679143264</v>
      </c>
      <c r="AA50" s="168">
        <f t="shared" si="51"/>
        <v>14494.173619745034</v>
      </c>
    </row>
    <row r="51" spans="2:28" x14ac:dyDescent="0.25">
      <c r="C51" s="92">
        <f>C29</f>
        <v>2028</v>
      </c>
      <c r="D51" s="162">
        <f>U29</f>
        <v>2687.7843548797646</v>
      </c>
      <c r="E51" s="162"/>
      <c r="F51" s="94"/>
      <c r="G51" s="164">
        <f>S29</f>
        <v>18472.341587728162</v>
      </c>
      <c r="H51" s="164"/>
      <c r="I51" s="164"/>
      <c r="J51" s="165">
        <f>S29</f>
        <v>18472.341587728162</v>
      </c>
      <c r="K51" s="165"/>
      <c r="L51" s="165"/>
      <c r="M51" s="166">
        <f>S29</f>
        <v>18472.341587728162</v>
      </c>
      <c r="N51" s="167"/>
      <c r="O51" s="167"/>
      <c r="P51" s="166">
        <f>N29*$E$7</f>
        <v>1202.8682663364148</v>
      </c>
      <c r="Q51" s="167"/>
      <c r="R51" s="167"/>
      <c r="S51" s="168">
        <f>S29</f>
        <v>18472.341587728162</v>
      </c>
      <c r="T51" s="169"/>
      <c r="U51" s="169"/>
      <c r="V51" s="170">
        <f>S29</f>
        <v>18472.341587728162</v>
      </c>
      <c r="W51" s="171"/>
      <c r="X51" s="171"/>
      <c r="Y51" s="172">
        <f>S29</f>
        <v>18472.341587728162</v>
      </c>
      <c r="Z51" s="173"/>
      <c r="AA51" s="173"/>
    </row>
    <row r="52" spans="2:28" x14ac:dyDescent="0.25">
      <c r="C52" s="92"/>
      <c r="D52" s="93"/>
      <c r="E52" s="93"/>
      <c r="F52" s="10"/>
      <c r="G52" s="107"/>
      <c r="H52" s="107"/>
      <c r="I52" s="107"/>
      <c r="J52" s="108"/>
      <c r="K52" s="108"/>
      <c r="L52" s="108"/>
      <c r="M52" s="109"/>
      <c r="N52" s="109"/>
      <c r="O52" s="109"/>
      <c r="P52" s="109"/>
      <c r="Q52" s="109"/>
      <c r="R52" s="109"/>
      <c r="S52" s="111"/>
      <c r="T52" s="111"/>
      <c r="U52" s="111"/>
      <c r="V52" s="112"/>
      <c r="W52" s="112"/>
      <c r="X52" s="112"/>
      <c r="Y52" s="113"/>
      <c r="Z52" s="113"/>
      <c r="AA52" s="113"/>
    </row>
    <row r="53" spans="2:28" ht="30" customHeight="1" x14ac:dyDescent="0.35">
      <c r="C53" s="92"/>
      <c r="D53" s="10"/>
      <c r="E53" s="114" t="s">
        <v>157</v>
      </c>
      <c r="F53" s="174">
        <f>F50</f>
        <v>6728.9825943994292</v>
      </c>
      <c r="G53" s="115"/>
      <c r="H53" s="116" t="s">
        <v>136</v>
      </c>
      <c r="I53" s="175">
        <f>I50</f>
        <v>14494.173619745034</v>
      </c>
      <c r="J53" s="117"/>
      <c r="K53" s="118" t="s">
        <v>151</v>
      </c>
      <c r="L53" s="176">
        <f>L50</f>
        <v>14494.173619745034</v>
      </c>
      <c r="M53" s="119"/>
      <c r="N53" s="120" t="s">
        <v>140</v>
      </c>
      <c r="O53" s="177">
        <f>O50</f>
        <v>12050.123619299044</v>
      </c>
      <c r="P53" s="119"/>
      <c r="Q53" s="120" t="s">
        <v>152</v>
      </c>
      <c r="R53" s="177">
        <f>R50</f>
        <v>3238.2225420300983</v>
      </c>
      <c r="S53" s="201" t="s">
        <v>247</v>
      </c>
      <c r="T53" s="122" t="s">
        <v>153</v>
      </c>
      <c r="U53" s="178">
        <f>U50</f>
        <v>14494.173619745034</v>
      </c>
      <c r="V53" s="148" t="s">
        <v>248</v>
      </c>
      <c r="W53" s="123" t="s">
        <v>155</v>
      </c>
      <c r="X53" s="179">
        <f>X50</f>
        <v>14494.173619745034</v>
      </c>
      <c r="Y53" s="144" t="s">
        <v>154</v>
      </c>
      <c r="Z53" s="124" t="s">
        <v>156</v>
      </c>
      <c r="AA53" s="180">
        <f>AA50</f>
        <v>14494.173619745034</v>
      </c>
    </row>
    <row r="54" spans="2:28" ht="18" x14ac:dyDescent="0.35">
      <c r="D54" s="10"/>
      <c r="E54" s="114" t="s">
        <v>165</v>
      </c>
      <c r="F54" s="174">
        <f>(O28*(T29-E8))/(E8-E4)+O28</f>
        <v>162553.84248815273</v>
      </c>
      <c r="G54" s="115"/>
      <c r="H54" s="116" t="s">
        <v>158</v>
      </c>
      <c r="I54" s="175">
        <f>(G51)/(E8-E4)</f>
        <v>173940.74696934369</v>
      </c>
      <c r="J54" s="117"/>
      <c r="K54" s="118" t="s">
        <v>159</v>
      </c>
      <c r="L54" s="176">
        <f>(P29*(1-(E4/T29)))/(E8-E4)</f>
        <v>170681.53461256038</v>
      </c>
      <c r="M54" s="119"/>
      <c r="N54" s="120" t="s">
        <v>160</v>
      </c>
      <c r="O54" s="177">
        <f>(M51)/(I7-E4)</f>
        <v>137853.29543080716</v>
      </c>
      <c r="P54" s="119"/>
      <c r="Q54" s="120" t="s">
        <v>161</v>
      </c>
      <c r="R54" s="177">
        <f>(P51)/(M7-E4)</f>
        <v>16584.423911986967</v>
      </c>
      <c r="S54" s="110">
        <f>'Financial Stmt'!Q60</f>
        <v>5.9212444794377603</v>
      </c>
      <c r="T54" s="122" t="s">
        <v>162</v>
      </c>
      <c r="U54" s="178">
        <f>M29*'Financial Stmt'!Q60</f>
        <v>227831.96178287451</v>
      </c>
      <c r="V54" s="125">
        <f>S54*(1-V56)</f>
        <v>5.3291200314939848</v>
      </c>
      <c r="W54" s="123" t="s">
        <v>163</v>
      </c>
      <c r="X54" s="179">
        <f>V54*M29</f>
        <v>205048.76560458707</v>
      </c>
      <c r="Y54" s="126">
        <f>S54*(1+Y56)</f>
        <v>7.6976178232690886</v>
      </c>
      <c r="Z54" s="124" t="s">
        <v>164</v>
      </c>
      <c r="AA54" s="180">
        <f>Y54*M29</f>
        <v>296181.55031773687</v>
      </c>
    </row>
    <row r="55" spans="2:28" ht="18" x14ac:dyDescent="0.35">
      <c r="D55" s="10"/>
      <c r="E55" s="114" t="s">
        <v>173</v>
      </c>
      <c r="F55" s="174">
        <f>F54/((1+E8)^B50)</f>
        <v>38077.740398531969</v>
      </c>
      <c r="G55" s="115"/>
      <c r="H55" s="116" t="s">
        <v>166</v>
      </c>
      <c r="I55" s="175">
        <f>I54/((1+E8)^B50)</f>
        <v>40745.087944064588</v>
      </c>
      <c r="J55" s="117"/>
      <c r="K55" s="118" t="s">
        <v>167</v>
      </c>
      <c r="L55" s="176">
        <f>L54/((1+E8)^B50)</f>
        <v>39981.627418458571</v>
      </c>
      <c r="M55" s="119"/>
      <c r="N55" s="120" t="s">
        <v>168</v>
      </c>
      <c r="O55" s="177">
        <f>O54/((1+I7)^B50)</f>
        <v>25462.446450663934</v>
      </c>
      <c r="P55" s="119"/>
      <c r="Q55" s="120" t="s">
        <v>169</v>
      </c>
      <c r="R55" s="177">
        <f>R54/((1+M7)^B50)</f>
        <v>5220.6048820084234</v>
      </c>
      <c r="S55" s="121"/>
      <c r="T55" s="122" t="s">
        <v>170</v>
      </c>
      <c r="U55" s="178">
        <f>U54/((1+E8)^B50)</f>
        <v>53368.940176783755</v>
      </c>
      <c r="V55" s="202" t="s">
        <v>249</v>
      </c>
      <c r="W55" s="123" t="s">
        <v>171</v>
      </c>
      <c r="X55" s="179">
        <f>X54/((1+I7)^B50)</f>
        <v>37873.909344460626</v>
      </c>
      <c r="Y55" s="80" t="s">
        <v>250</v>
      </c>
      <c r="Z55" s="124" t="s">
        <v>172</v>
      </c>
      <c r="AA55" s="180">
        <f>AA54/((1+I7)^B50)</f>
        <v>54706.757941998687</v>
      </c>
    </row>
    <row r="56" spans="2:28" ht="18" x14ac:dyDescent="0.35">
      <c r="D56" s="10"/>
      <c r="E56" s="114" t="s">
        <v>181</v>
      </c>
      <c r="F56" s="174">
        <f>F53+F55</f>
        <v>44806.722992931398</v>
      </c>
      <c r="G56" s="115"/>
      <c r="H56" s="116" t="s">
        <v>174</v>
      </c>
      <c r="I56" s="175">
        <f>I53+I55</f>
        <v>55239.261563809618</v>
      </c>
      <c r="J56" s="117"/>
      <c r="K56" s="118" t="s">
        <v>175</v>
      </c>
      <c r="L56" s="176">
        <f>L55+L53</f>
        <v>54475.801038203601</v>
      </c>
      <c r="M56" s="119"/>
      <c r="N56" s="120" t="s">
        <v>176</v>
      </c>
      <c r="O56" s="177">
        <f>O53+O55</f>
        <v>37512.570069962982</v>
      </c>
      <c r="P56" s="119"/>
      <c r="Q56" s="120" t="s">
        <v>177</v>
      </c>
      <c r="R56" s="177">
        <f>R53+R55</f>
        <v>8458.8274240385217</v>
      </c>
      <c r="S56" s="121"/>
      <c r="T56" s="122" t="s">
        <v>178</v>
      </c>
      <c r="U56" s="178">
        <f>U53+U55</f>
        <v>67863.113796528793</v>
      </c>
      <c r="V56" s="203">
        <v>0.1</v>
      </c>
      <c r="W56" s="123" t="s">
        <v>179</v>
      </c>
      <c r="X56" s="179">
        <f>X53+X55</f>
        <v>52368.082964205663</v>
      </c>
      <c r="Y56" s="204">
        <v>0.3</v>
      </c>
      <c r="Z56" s="124" t="s">
        <v>180</v>
      </c>
      <c r="AA56" s="180">
        <f>AA53+AA55</f>
        <v>69200.931561743724</v>
      </c>
    </row>
    <row r="57" spans="2:28" x14ac:dyDescent="0.25">
      <c r="D57" s="10"/>
      <c r="G57" s="137"/>
      <c r="H57" s="143"/>
      <c r="I57" s="143"/>
      <c r="J57" s="143"/>
      <c r="K57" s="143"/>
      <c r="L57" s="143"/>
      <c r="M57" s="119"/>
      <c r="N57" s="119"/>
      <c r="O57" s="119"/>
      <c r="P57" s="119"/>
      <c r="Q57" s="119"/>
      <c r="R57" s="119"/>
      <c r="S57" s="119"/>
      <c r="T57" s="143"/>
      <c r="U57" s="143"/>
      <c r="V57" s="143"/>
      <c r="W57" s="10"/>
      <c r="X57" s="10"/>
      <c r="Y57" s="10"/>
      <c r="Z57" s="10"/>
      <c r="AA57" s="10"/>
      <c r="AB57" s="10"/>
    </row>
    <row r="58" spans="2:28" x14ac:dyDescent="0.25">
      <c r="D58" s="10"/>
      <c r="E58" s="10"/>
      <c r="F58" s="137"/>
      <c r="G58" s="137"/>
      <c r="H58" s="143"/>
      <c r="I58" s="143"/>
      <c r="J58" s="143"/>
      <c r="K58" s="143"/>
      <c r="L58" s="143"/>
      <c r="M58" s="119"/>
      <c r="N58" s="119"/>
      <c r="O58" s="120" t="s">
        <v>182</v>
      </c>
      <c r="P58" s="177">
        <f>O56+R56</f>
        <v>45971.397494001503</v>
      </c>
      <c r="Q58" s="119"/>
      <c r="R58" s="119"/>
      <c r="S58" s="119"/>
      <c r="T58" s="143"/>
      <c r="U58" s="143"/>
      <c r="V58" s="143"/>
      <c r="W58" s="10"/>
      <c r="X58" s="10"/>
      <c r="Y58" s="10"/>
      <c r="Z58" s="10"/>
      <c r="AA58" s="10"/>
      <c r="AB58" s="10"/>
    </row>
  </sheetData>
  <mergeCells count="24">
    <mergeCell ref="AB19:AI19"/>
    <mergeCell ref="C38:F38"/>
    <mergeCell ref="G38:I38"/>
    <mergeCell ref="J38:L38"/>
    <mergeCell ref="M38:O38"/>
    <mergeCell ref="P38:R38"/>
    <mergeCell ref="S38:U38"/>
    <mergeCell ref="V38:X38"/>
    <mergeCell ref="Y38:AA38"/>
    <mergeCell ref="M37:R37"/>
    <mergeCell ref="AB18:AI18"/>
    <mergeCell ref="AB12:AI12"/>
    <mergeCell ref="AB13:AI14"/>
    <mergeCell ref="B1:AD1"/>
    <mergeCell ref="B4:D4"/>
    <mergeCell ref="Q4:R4"/>
    <mergeCell ref="B5:D5"/>
    <mergeCell ref="B6:D6"/>
    <mergeCell ref="B7:D7"/>
    <mergeCell ref="B8:D8"/>
    <mergeCell ref="B10:D10"/>
    <mergeCell ref="C16:D16"/>
    <mergeCell ref="AB16:AI16"/>
    <mergeCell ref="AB17:AI17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8"/>
  <sheetViews>
    <sheetView workbookViewId="0">
      <selection activeCell="M9" sqref="M9:M11"/>
    </sheetView>
  </sheetViews>
  <sheetFormatPr defaultRowHeight="15" x14ac:dyDescent="0.25"/>
  <cols>
    <col min="1" max="1" width="5.7109375" customWidth="1"/>
    <col min="2" max="2" width="7.7109375" customWidth="1"/>
    <col min="3" max="3" width="9.28515625" bestFit="1" customWidth="1"/>
    <col min="4" max="4" width="10.28515625" bestFit="1" customWidth="1"/>
    <col min="5" max="5" width="9.5703125" bestFit="1" customWidth="1"/>
    <col min="6" max="6" width="12.28515625" customWidth="1"/>
    <col min="7" max="7" width="10.5703125" bestFit="1" customWidth="1"/>
    <col min="8" max="8" width="10.28515625" customWidth="1"/>
    <col min="9" max="9" width="11.5703125" bestFit="1" customWidth="1"/>
    <col min="10" max="10" width="10.5703125" bestFit="1" customWidth="1"/>
    <col min="11" max="11" width="9.42578125" customWidth="1"/>
    <col min="12" max="12" width="11.5703125" bestFit="1" customWidth="1"/>
    <col min="13" max="14" width="10.5703125" bestFit="1" customWidth="1"/>
    <col min="15" max="15" width="11.5703125" bestFit="1" customWidth="1"/>
    <col min="16" max="16" width="10.42578125" bestFit="1" customWidth="1"/>
    <col min="17" max="17" width="9.5703125" bestFit="1" customWidth="1"/>
    <col min="18" max="19" width="10.5703125" bestFit="1" customWidth="1"/>
    <col min="20" max="20" width="10.42578125" bestFit="1" customWidth="1"/>
    <col min="21" max="21" width="11.5703125" bestFit="1" customWidth="1"/>
    <col min="22" max="22" width="10.5703125" bestFit="1" customWidth="1"/>
    <col min="23" max="23" width="9.7109375" bestFit="1" customWidth="1"/>
    <col min="24" max="24" width="11.7109375" customWidth="1"/>
    <col min="25" max="25" width="10.5703125" bestFit="1" customWidth="1"/>
    <col min="26" max="26" width="9.5703125" bestFit="1" customWidth="1"/>
    <col min="27" max="27" width="11.5703125" bestFit="1" customWidth="1"/>
    <col min="28" max="28" width="9.28515625" bestFit="1" customWidth="1"/>
    <col min="29" max="29" width="9.5703125" bestFit="1" customWidth="1"/>
    <col min="30" max="31" width="9.28515625" bestFit="1" customWidth="1"/>
    <col min="32" max="32" width="9.5703125" bestFit="1" customWidth="1"/>
  </cols>
  <sheetData>
    <row r="1" spans="1:35" x14ac:dyDescent="0.25">
      <c r="B1" s="285" t="str">
        <f>'Financial Stmt'!B2:L2</f>
        <v>Leshkal Industries, Inc.</v>
      </c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  <c r="N1" s="285"/>
      <c r="O1" s="285"/>
      <c r="P1" s="285"/>
      <c r="Q1" s="285"/>
      <c r="R1" s="285"/>
      <c r="S1" s="285"/>
      <c r="T1" s="285"/>
      <c r="U1" s="285"/>
      <c r="V1" s="285"/>
      <c r="W1" s="285"/>
      <c r="X1" s="285"/>
      <c r="Y1" s="285"/>
      <c r="Z1" s="285"/>
      <c r="AA1" s="285"/>
      <c r="AB1" s="285"/>
      <c r="AC1" s="285"/>
      <c r="AD1" s="285"/>
    </row>
    <row r="2" spans="1:35" x14ac:dyDescent="0.25"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  <c r="Z2" s="157"/>
      <c r="AA2" s="157"/>
      <c r="AB2" s="157"/>
      <c r="AC2" s="157"/>
      <c r="AD2" s="157"/>
    </row>
    <row r="3" spans="1:35" x14ac:dyDescent="0.25">
      <c r="J3" s="2">
        <f>'Financial Stmt'!D6</f>
        <v>2016</v>
      </c>
      <c r="K3" s="2">
        <f>'Financial Stmt'!E6</f>
        <v>2017</v>
      </c>
    </row>
    <row r="4" spans="1:35" x14ac:dyDescent="0.25">
      <c r="B4" s="292" t="s">
        <v>114</v>
      </c>
      <c r="C4" s="293"/>
      <c r="D4" s="293"/>
      <c r="E4" s="11">
        <f>'Financial Stmt'!Q56</f>
        <v>0.05</v>
      </c>
      <c r="H4" s="186"/>
      <c r="I4" s="275" t="s">
        <v>115</v>
      </c>
      <c r="J4">
        <f>'Financial Stmt'!K21</f>
        <v>7620</v>
      </c>
      <c r="K4">
        <f>'Financial Stmt'!L21</f>
        <v>6530</v>
      </c>
      <c r="Q4" s="287"/>
      <c r="R4" s="287"/>
      <c r="U4" s="157"/>
      <c r="V4" s="48"/>
      <c r="W4" s="157"/>
      <c r="Z4" s="157"/>
      <c r="AA4" s="157"/>
      <c r="AB4" s="157"/>
    </row>
    <row r="5" spans="1:35" x14ac:dyDescent="0.25">
      <c r="B5" s="293" t="str">
        <f>'[1]Fin Stmt'!N38</f>
        <v>Taxes Paid/Taxable Income</v>
      </c>
      <c r="C5" s="293"/>
      <c r="D5" s="293"/>
      <c r="E5" s="70">
        <f>'Financial Stmt'!Q52</f>
        <v>0.23551637279596976</v>
      </c>
      <c r="Q5" s="187"/>
      <c r="R5" s="188"/>
      <c r="U5" s="48"/>
      <c r="V5" s="48"/>
      <c r="W5" s="48"/>
      <c r="Z5" s="63"/>
      <c r="AC5" s="1"/>
    </row>
    <row r="6" spans="1:35" x14ac:dyDescent="0.25">
      <c r="B6" s="293" t="s">
        <v>116</v>
      </c>
      <c r="C6" s="293"/>
      <c r="D6" s="293"/>
      <c r="E6" s="11">
        <f>'Financial Stmt'!Q50</f>
        <v>0.34</v>
      </c>
      <c r="Q6" s="189"/>
      <c r="R6" s="188"/>
      <c r="U6" s="48"/>
      <c r="V6" s="48"/>
      <c r="W6" s="157"/>
      <c r="Z6" s="48"/>
      <c r="AB6" s="73"/>
      <c r="AC6" s="104"/>
    </row>
    <row r="7" spans="1:35" ht="18" x14ac:dyDescent="0.35">
      <c r="B7" s="293" t="s">
        <v>117</v>
      </c>
      <c r="C7" s="293"/>
      <c r="D7" s="293"/>
      <c r="E7" s="70">
        <f>'Financial Stmt'!Q51</f>
        <v>0.34</v>
      </c>
      <c r="F7" s="153"/>
      <c r="G7" s="153"/>
      <c r="H7" s="156" t="s">
        <v>284</v>
      </c>
      <c r="I7" s="11">
        <f>'VAL without adjust'!I7</f>
        <v>0.184</v>
      </c>
      <c r="J7" s="156" t="s">
        <v>283</v>
      </c>
      <c r="K7" s="11">
        <f>'VAL without adjust'!K7</f>
        <v>0.08</v>
      </c>
      <c r="L7" s="156" t="s">
        <v>118</v>
      </c>
      <c r="M7" s="131">
        <f>'VAL without adjust'!M7</f>
        <v>0.12253</v>
      </c>
      <c r="O7" s="8"/>
      <c r="Q7" s="189"/>
      <c r="R7" s="188"/>
      <c r="T7" s="92"/>
      <c r="U7" s="48"/>
      <c r="V7" s="48"/>
      <c r="W7" s="48"/>
      <c r="Z7" s="48"/>
      <c r="AA7" s="48"/>
      <c r="AB7" s="48"/>
      <c r="AC7" s="1"/>
    </row>
    <row r="8" spans="1:35" x14ac:dyDescent="0.25">
      <c r="B8" s="293" t="s">
        <v>286</v>
      </c>
      <c r="C8" s="293"/>
      <c r="D8" s="293"/>
      <c r="E8" s="129">
        <v>0.18</v>
      </c>
      <c r="H8" s="156"/>
      <c r="I8" s="9"/>
      <c r="L8" s="8"/>
      <c r="O8" s="8"/>
      <c r="Q8" s="189"/>
      <c r="R8" s="214"/>
      <c r="U8" s="157"/>
      <c r="V8" s="157"/>
      <c r="W8" s="157"/>
      <c r="Z8" s="157"/>
      <c r="AA8" s="157"/>
      <c r="AB8" s="157"/>
    </row>
    <row r="9" spans="1:35" x14ac:dyDescent="0.25">
      <c r="B9" s="156"/>
      <c r="C9" s="156"/>
      <c r="D9" s="156"/>
      <c r="M9" s="8"/>
      <c r="N9" s="8"/>
      <c r="Q9" s="189"/>
      <c r="R9" s="215"/>
      <c r="S9" s="63"/>
      <c r="U9" s="74"/>
      <c r="V9" s="63"/>
      <c r="W9" s="63"/>
      <c r="Z9" s="63"/>
      <c r="AA9" s="63"/>
      <c r="AB9" s="63"/>
    </row>
    <row r="10" spans="1:35" ht="15.75" customHeight="1" x14ac:dyDescent="0.25">
      <c r="B10" s="294" t="s">
        <v>205</v>
      </c>
      <c r="C10" s="294"/>
      <c r="D10" s="294"/>
      <c r="E10" s="11">
        <f>D14/O14</f>
        <v>0.2007377805102982</v>
      </c>
      <c r="H10" s="29"/>
      <c r="I10" s="29" t="s">
        <v>206</v>
      </c>
      <c r="J10" s="11">
        <f>O14/E14</f>
        <v>1.3111648528819024</v>
      </c>
      <c r="K10" s="9"/>
      <c r="M10" s="8"/>
      <c r="N10" s="8"/>
      <c r="Q10" s="187"/>
    </row>
    <row r="11" spans="1:35" ht="17.25" x14ac:dyDescent="0.25">
      <c r="D11" s="156" t="s">
        <v>212</v>
      </c>
      <c r="E11" s="11">
        <v>0.01</v>
      </c>
      <c r="I11" s="156" t="s">
        <v>292</v>
      </c>
      <c r="J11" s="11">
        <v>0.01</v>
      </c>
      <c r="M11" s="8"/>
      <c r="Q11" s="187"/>
      <c r="R11" s="191"/>
      <c r="Z11" s="155"/>
      <c r="AA11" s="155"/>
    </row>
    <row r="12" spans="1:35" x14ac:dyDescent="0.25">
      <c r="X12" s="71"/>
      <c r="Y12" s="127"/>
      <c r="Z12" s="155"/>
      <c r="AA12" s="155"/>
      <c r="AB12" s="290" t="s">
        <v>200</v>
      </c>
      <c r="AC12" s="290"/>
      <c r="AD12" s="290"/>
      <c r="AE12" s="290"/>
      <c r="AF12" s="290"/>
      <c r="AG12" s="290"/>
      <c r="AH12" s="290"/>
      <c r="AI12" s="290"/>
    </row>
    <row r="13" spans="1:35" ht="30" customHeight="1" x14ac:dyDescent="0.25">
      <c r="A13" s="75" t="s">
        <v>202</v>
      </c>
      <c r="B13" s="75" t="s">
        <v>203</v>
      </c>
      <c r="C13" s="75" t="s">
        <v>120</v>
      </c>
      <c r="D13" s="75" t="s">
        <v>121</v>
      </c>
      <c r="E13" s="75" t="s">
        <v>122</v>
      </c>
      <c r="F13" s="75" t="str">
        <f>'Financial Stmt'!O17</f>
        <v>Production Labor</v>
      </c>
      <c r="G13" s="75" t="str">
        <f>'Financial Stmt'!O18</f>
        <v>Materials</v>
      </c>
      <c r="H13" s="75" t="str">
        <f>'Financial Stmt'!O19</f>
        <v>Sales &amp; Mkt</v>
      </c>
      <c r="I13" s="75" t="str">
        <f>'Financial Stmt'!O20</f>
        <v>Admin</v>
      </c>
      <c r="J13" s="75" t="str">
        <f>'Financial Stmt'!O21</f>
        <v>Facilities</v>
      </c>
      <c r="K13" s="75" t="str">
        <f>'Financial Stmt'!O22</f>
        <v>Leases</v>
      </c>
      <c r="L13" s="75" t="s">
        <v>123</v>
      </c>
      <c r="M13" s="75" t="s">
        <v>124</v>
      </c>
      <c r="N13" s="75" t="s">
        <v>276</v>
      </c>
      <c r="O13" s="75" t="s">
        <v>268</v>
      </c>
      <c r="P13" s="75" t="s">
        <v>125</v>
      </c>
      <c r="Q13" s="76" t="s">
        <v>271</v>
      </c>
      <c r="R13" s="77" t="s">
        <v>272</v>
      </c>
      <c r="S13" s="75" t="s">
        <v>126</v>
      </c>
      <c r="T13" s="75" t="s">
        <v>127</v>
      </c>
      <c r="U13" s="75" t="s">
        <v>128</v>
      </c>
      <c r="V13" s="75"/>
      <c r="W13" s="75" t="s">
        <v>208</v>
      </c>
      <c r="X13" s="146" t="s">
        <v>207</v>
      </c>
      <c r="Y13" s="75" t="s">
        <v>209</v>
      </c>
      <c r="AB13" s="291" t="s">
        <v>211</v>
      </c>
      <c r="AC13" s="291"/>
      <c r="AD13" s="291"/>
      <c r="AE13" s="291"/>
      <c r="AF13" s="291"/>
      <c r="AG13" s="291"/>
      <c r="AH13" s="291"/>
      <c r="AI13" s="291"/>
    </row>
    <row r="14" spans="1:35" ht="15" customHeight="1" x14ac:dyDescent="0.25">
      <c r="B14">
        <v>0</v>
      </c>
      <c r="C14" s="83">
        <f>K3</f>
        <v>2017</v>
      </c>
      <c r="D14" s="105">
        <f>K4</f>
        <v>6530</v>
      </c>
      <c r="E14" s="105">
        <f>'Financial Stmt'!Q14</f>
        <v>24810</v>
      </c>
      <c r="F14" s="105">
        <f>'Financial Stmt'!Q17</f>
        <v>5440</v>
      </c>
      <c r="G14" s="105">
        <f>'Financial Stmt'!Q18</f>
        <v>2180</v>
      </c>
      <c r="H14" s="105">
        <f>'Financial Stmt'!Q19</f>
        <v>2700</v>
      </c>
      <c r="I14" s="105">
        <f>'Financial Stmt'!Q20</f>
        <v>2170</v>
      </c>
      <c r="J14" s="105">
        <f>'Financial Stmt'!Q21</f>
        <v>450</v>
      </c>
      <c r="K14" s="105">
        <f>'Financial Stmt'!Q22</f>
        <v>500</v>
      </c>
      <c r="L14" s="105">
        <f>'Financial Stmt'!Q23</f>
        <v>2760</v>
      </c>
      <c r="M14" s="59">
        <f>'Financial Stmt'!Q26</f>
        <v>8610</v>
      </c>
      <c r="N14" s="105">
        <f>'Financial Stmt'!Q31+'Financial Stmt'!Q32</f>
        <v>970</v>
      </c>
      <c r="O14" s="105">
        <f>'Financial Stmt'!E21+'Financial Stmt'!E12-'Financial Stmt'!L13</f>
        <v>32530</v>
      </c>
      <c r="P14" s="105">
        <f>'Financial Stmt'!L73</f>
        <v>5682.5999999999995</v>
      </c>
      <c r="Q14" s="105">
        <f>'Financial Stmt'!E46</f>
        <v>3960</v>
      </c>
      <c r="R14" s="105">
        <f>'Financial Stmt'!E21</f>
        <v>28570</v>
      </c>
      <c r="S14" s="105">
        <f>P14+L14-(R14-'Financial Stmt'!D21+'VAL with adjust'!L14)-('VAL with adjust'!Q14-('Financial Stmt'!D12-'Financial Stmt'!K13))</f>
        <v>1912.5999999999985</v>
      </c>
      <c r="T14" s="130">
        <f>P14/O14</f>
        <v>0.17468798032585303</v>
      </c>
      <c r="U14" s="59">
        <f>O14*(T14-$E$8)</f>
        <v>-172.80000000000067</v>
      </c>
      <c r="W14" s="11">
        <f>(E14-'Financial Stmt'!P14)/'Financial Stmt'!P14</f>
        <v>0.11656165616561656</v>
      </c>
      <c r="X14" s="11">
        <f>E14/O14</f>
        <v>0.76268060252075009</v>
      </c>
      <c r="Y14" s="102">
        <f>D14/O14</f>
        <v>0.2007377805102982</v>
      </c>
      <c r="AB14" s="291"/>
      <c r="AC14" s="291"/>
      <c r="AD14" s="291"/>
      <c r="AE14" s="291"/>
      <c r="AF14" s="291"/>
      <c r="AG14" s="291"/>
      <c r="AH14" s="291"/>
      <c r="AI14" s="291"/>
    </row>
    <row r="15" spans="1:35" x14ac:dyDescent="0.25">
      <c r="C15" s="106"/>
      <c r="D15" s="106"/>
      <c r="E15" s="106"/>
      <c r="F15" s="106"/>
      <c r="G15" s="106"/>
      <c r="H15" s="106"/>
      <c r="I15" s="106"/>
      <c r="J15" s="106"/>
      <c r="K15" s="106"/>
      <c r="L15" s="106"/>
      <c r="M15" s="59"/>
      <c r="N15" s="106"/>
      <c r="O15" s="106"/>
      <c r="P15" s="106"/>
      <c r="Q15" s="106"/>
      <c r="R15" s="106"/>
      <c r="S15" s="106"/>
      <c r="T15" s="81"/>
      <c r="U15" s="59"/>
      <c r="Y15" s="80"/>
      <c r="AB15" t="s">
        <v>201</v>
      </c>
      <c r="AC15" s="152"/>
      <c r="AD15" s="152"/>
      <c r="AE15" s="152"/>
      <c r="AF15" s="152"/>
      <c r="AG15" s="152"/>
      <c r="AH15" s="128"/>
      <c r="AI15" s="128"/>
    </row>
    <row r="16" spans="1:35" ht="15" customHeight="1" x14ac:dyDescent="0.25">
      <c r="C16" s="302" t="s">
        <v>267</v>
      </c>
      <c r="D16" s="302"/>
      <c r="E16" s="81">
        <f>AVERAGE('Rev Forecast'!M13,'Rev Forecast'!M23,'Rev Forecast'!M33,'Rev Forecast'!M43,'Rev Forecast'!M53)</f>
        <v>0.19101929603001477</v>
      </c>
      <c r="F16" s="81">
        <f t="shared" ref="F16:L16" si="0">F14/$E$14</f>
        <v>0.2192664248286981</v>
      </c>
      <c r="G16" s="81">
        <f t="shared" si="0"/>
        <v>8.7867795243853283E-2</v>
      </c>
      <c r="H16" s="81">
        <f t="shared" si="0"/>
        <v>0.10882708585247884</v>
      </c>
      <c r="I16" s="81">
        <f t="shared" si="0"/>
        <v>8.746473196291818E-2</v>
      </c>
      <c r="J16" s="81">
        <f t="shared" si="0"/>
        <v>1.8137847642079808E-2</v>
      </c>
      <c r="K16" s="81">
        <f t="shared" si="0"/>
        <v>2.015316404675534E-2</v>
      </c>
      <c r="L16" s="81">
        <f t="shared" si="0"/>
        <v>0.11124546553808948</v>
      </c>
      <c r="M16" s="72"/>
      <c r="N16" s="81">
        <f>N14/$J$4</f>
        <v>0.12729658792650919</v>
      </c>
      <c r="O16" s="106"/>
      <c r="P16" s="106"/>
      <c r="Q16" s="106"/>
      <c r="R16" s="106"/>
      <c r="S16" s="106"/>
      <c r="T16" s="81"/>
      <c r="U16" s="59"/>
      <c r="Y16" s="80"/>
      <c r="AB16" s="291" t="s">
        <v>213</v>
      </c>
      <c r="AC16" s="291"/>
      <c r="AD16" s="291"/>
      <c r="AE16" s="291"/>
      <c r="AF16" s="291"/>
      <c r="AG16" s="291"/>
      <c r="AH16" s="291"/>
      <c r="AI16" s="291"/>
    </row>
    <row r="17" spans="1:35" ht="17.25" x14ac:dyDescent="0.25">
      <c r="C17" s="151"/>
      <c r="D17" s="151" t="s">
        <v>265</v>
      </c>
      <c r="E17" s="103">
        <v>0.02</v>
      </c>
      <c r="F17" s="81">
        <v>0.01</v>
      </c>
      <c r="G17" s="81">
        <v>0.01</v>
      </c>
      <c r="H17" s="81">
        <v>0.03</v>
      </c>
      <c r="I17" s="81">
        <v>0.04</v>
      </c>
      <c r="J17" s="81">
        <v>0.02</v>
      </c>
      <c r="K17" s="81">
        <v>0.01</v>
      </c>
      <c r="L17" s="81">
        <v>0</v>
      </c>
      <c r="M17" s="72"/>
      <c r="N17" s="81">
        <v>5.7299999999999997E-2</v>
      </c>
      <c r="O17" s="106"/>
      <c r="P17" s="106"/>
      <c r="Q17" s="106"/>
      <c r="R17" s="106"/>
      <c r="S17" s="106"/>
      <c r="T17" s="81"/>
      <c r="U17" s="59"/>
      <c r="Y17" s="80"/>
      <c r="AB17" s="295" t="s">
        <v>210</v>
      </c>
      <c r="AC17" s="295"/>
      <c r="AD17" s="295"/>
      <c r="AE17" s="295"/>
      <c r="AF17" s="295"/>
      <c r="AG17" s="295"/>
      <c r="AH17" s="295"/>
      <c r="AI17" s="295"/>
    </row>
    <row r="18" spans="1:35" x14ac:dyDescent="0.25"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59"/>
      <c r="N18" s="10"/>
      <c r="O18" s="10"/>
      <c r="P18" s="10"/>
      <c r="Q18" s="10"/>
      <c r="R18" s="10"/>
      <c r="S18" s="10"/>
      <c r="T18" s="11"/>
      <c r="U18" s="59"/>
      <c r="Y18" s="80"/>
      <c r="Z18" s="80"/>
      <c r="AA18" s="80"/>
      <c r="AB18" s="289" t="s">
        <v>204</v>
      </c>
      <c r="AC18" s="289"/>
      <c r="AD18" s="289"/>
      <c r="AE18" s="289"/>
      <c r="AF18" s="289"/>
      <c r="AG18" s="289"/>
      <c r="AH18" s="289"/>
      <c r="AI18" s="289"/>
    </row>
    <row r="19" spans="1:35" x14ac:dyDescent="0.25">
      <c r="A19" s="48"/>
      <c r="B19" s="48">
        <v>1</v>
      </c>
      <c r="C19" s="83">
        <f>C14+1</f>
        <v>2018</v>
      </c>
      <c r="D19" s="105">
        <f>O19*$E$10*(1-$E$11)^B19</f>
        <v>7499.283384667473</v>
      </c>
      <c r="E19" s="105">
        <f>'Rev Forecast'!K13</f>
        <v>29071.199999999997</v>
      </c>
      <c r="F19" s="105">
        <f>F$16*$E19*(1-$F$17)^B19</f>
        <v>6310.5947085852467</v>
      </c>
      <c r="G19" s="105">
        <f>G$16*$E19*(1-$G$17)^B19</f>
        <v>2528.8780266021763</v>
      </c>
      <c r="H19" s="105">
        <f>H$16*$E19*(1-$H$17)^B19</f>
        <v>3068.821958887545</v>
      </c>
      <c r="I19" s="105">
        <f>I$16*$E19*(1-$I$17)^B19</f>
        <v>2440.9965272067711</v>
      </c>
      <c r="J19" s="105">
        <f>J$16*$E19*(1-$J$17)^B19</f>
        <v>516.74321644498184</v>
      </c>
      <c r="K19" s="105">
        <f>K$16*$E19*(1-$K$17)^B19</f>
        <v>580.01789600967345</v>
      </c>
      <c r="L19" s="105">
        <f>L$16*$E19*(1-$L$17)^B19</f>
        <v>3234.0391777509067</v>
      </c>
      <c r="M19" s="59">
        <f>E19-SUM(F19:L19)</f>
        <v>10391.108488512698</v>
      </c>
      <c r="N19" s="105">
        <f>(N$16-$N$17)*D14</f>
        <v>457.07771916010506</v>
      </c>
      <c r="O19" s="105">
        <f>Q19+R19</f>
        <v>37735.964314389355</v>
      </c>
      <c r="P19" s="105">
        <f t="shared" ref="P19:P29" si="1">M19*(1-$E$6)</f>
        <v>6858.1316024183798</v>
      </c>
      <c r="Q19" s="105">
        <f>Q14*(1+($E19-$E14)/$E14)*(1-$J$11)^$B19</f>
        <v>4593.7417363966133</v>
      </c>
      <c r="R19" s="105">
        <f>R14*(1+($E19-$E14)/$E14)*(1-$J$11)^$B19</f>
        <v>33142.222577992739</v>
      </c>
      <c r="S19" s="105">
        <f>P19+L19-(Q19-Q14)-(R19-R14+L19)</f>
        <v>1652.167288029028</v>
      </c>
      <c r="T19" s="130">
        <f t="shared" ref="T19:T29" si="2">P19/O19</f>
        <v>0.1817399323701199</v>
      </c>
      <c r="U19" s="59">
        <f t="shared" ref="U19:U29" si="3">O19*(T19-$E$8)</f>
        <v>65.658025828295692</v>
      </c>
      <c r="V19" s="9"/>
      <c r="W19" s="11">
        <f>(E19-E14)/E14</f>
        <v>0.1717533252720676</v>
      </c>
      <c r="X19" s="11">
        <f t="shared" ref="X19:X29" si="4">E19/O19</f>
        <v>0.77038444699065667</v>
      </c>
      <c r="Y19" s="102">
        <f t="shared" ref="Y19:Y29" si="5">D19/O19</f>
        <v>0.19873040270519524</v>
      </c>
      <c r="AB19" s="295"/>
      <c r="AC19" s="295"/>
      <c r="AD19" s="295"/>
      <c r="AE19" s="295"/>
      <c r="AF19" s="295"/>
      <c r="AG19" s="295"/>
      <c r="AH19" s="295"/>
      <c r="AI19" s="295"/>
    </row>
    <row r="20" spans="1:35" x14ac:dyDescent="0.25">
      <c r="A20" s="48"/>
      <c r="B20" s="48">
        <f>B19+1</f>
        <v>2</v>
      </c>
      <c r="C20" s="83">
        <f t="shared" ref="C20:C29" si="6">C19+1</f>
        <v>2019</v>
      </c>
      <c r="D20" s="105">
        <f t="shared" ref="D20:D29" si="7">O20*$E$10*(1-$E$11)^B20</f>
        <v>9053.4294167035769</v>
      </c>
      <c r="E20" s="105">
        <f>'Rev Forecast'!K23</f>
        <v>36170.184999999998</v>
      </c>
      <c r="F20" s="105">
        <f t="shared" ref="F20:F29" si="8">F$16*$E20*(1-$F$17)^B20</f>
        <v>7773.0820980507851</v>
      </c>
      <c r="G20" s="105">
        <f t="shared" ref="G20:G29" si="9">G$16*$E20*(1-$G$17)^B20</f>
        <v>3114.9483407629982</v>
      </c>
      <c r="H20" s="105">
        <f t="shared" ref="H20:H28" si="10">H$16*$E20*(1-$H$17)^B20</f>
        <v>3703.6607448428049</v>
      </c>
      <c r="I20" s="105">
        <f t="shared" ref="I20:I29" si="11">I$16*$E20*(1-$I$17)^B20</f>
        <v>2915.5880780459493</v>
      </c>
      <c r="J20" s="105">
        <f t="shared" ref="J20:J29" si="12">J$16*$E20*(1-$J$17)^B20</f>
        <v>630.06975224909309</v>
      </c>
      <c r="K20" s="105">
        <f t="shared" ref="K20:K29" si="13">K$16*$E20*(1-$K$17)^B20</f>
        <v>714.43769283555014</v>
      </c>
      <c r="L20" s="105">
        <f t="shared" ref="L20:L29" si="14">L$16*$E20*(1-$L$17)^B20</f>
        <v>4023.7690689238207</v>
      </c>
      <c r="M20" s="59">
        <f t="shared" ref="M20:M29" si="15">E20-SUM(F20:L20)</f>
        <v>13294.629224288998</v>
      </c>
      <c r="N20" s="105">
        <f>(N$16-$N$17)*D19</f>
        <v>524.92424882068633</v>
      </c>
      <c r="O20" s="105">
        <f t="shared" ref="O20:O29" si="16">Q20+R20</f>
        <v>46016.50313292208</v>
      </c>
      <c r="P20" s="105">
        <f t="shared" si="1"/>
        <v>8774.4552880307365</v>
      </c>
      <c r="Q20" s="105">
        <f t="shared" ref="Q20:Q28" si="17">Q19*(1+(E20-E19)/E19)*(1-$J$11)^B20</f>
        <v>5601.7630619849815</v>
      </c>
      <c r="R20" s="105">
        <f t="shared" ref="R20:R28" si="18">R19*(1+($E20-$E19)/$E19)*(1-$J$11)^$B20</f>
        <v>40414.7400709371</v>
      </c>
      <c r="S20" s="105">
        <f t="shared" ref="S20:S29" si="19">P20+L20-(Q20-Q19)-(R20-R19+L20)</f>
        <v>493.91646949800815</v>
      </c>
      <c r="T20" s="130">
        <f t="shared" si="2"/>
        <v>0.19068061870509961</v>
      </c>
      <c r="U20" s="59">
        <f t="shared" si="3"/>
        <v>491.48472410476285</v>
      </c>
      <c r="V20" s="9"/>
      <c r="W20" s="11">
        <f t="shared" ref="W20:W29" si="20">(E20-E19)/E19</f>
        <v>0.24419305016648785</v>
      </c>
      <c r="X20" s="11">
        <f t="shared" si="4"/>
        <v>0.78602637178926305</v>
      </c>
      <c r="Y20" s="102">
        <f t="shared" si="5"/>
        <v>0.19674309867814324</v>
      </c>
      <c r="AD20" s="28"/>
      <c r="AF20" s="28"/>
    </row>
    <row r="21" spans="1:35" x14ac:dyDescent="0.25">
      <c r="A21" s="48"/>
      <c r="B21" s="48">
        <f t="shared" ref="B21:B28" si="21">B20+1</f>
        <v>3</v>
      </c>
      <c r="C21" s="83">
        <f t="shared" si="6"/>
        <v>2020</v>
      </c>
      <c r="D21" s="105">
        <f t="shared" si="7"/>
        <v>10538.480475857252</v>
      </c>
      <c r="E21" s="105">
        <f>'Rev Forecast'!K33</f>
        <v>43830.33872</v>
      </c>
      <c r="F21" s="105">
        <f t="shared" si="8"/>
        <v>9325.0795660396761</v>
      </c>
      <c r="G21" s="105">
        <f t="shared" si="9"/>
        <v>3736.8885025673703</v>
      </c>
      <c r="H21" s="105">
        <f t="shared" si="10"/>
        <v>4353.3845293275335</v>
      </c>
      <c r="I21" s="105">
        <f t="shared" si="11"/>
        <v>3391.7317400394231</v>
      </c>
      <c r="J21" s="105">
        <f t="shared" si="12"/>
        <v>748.23635115878301</v>
      </c>
      <c r="K21" s="105">
        <f t="shared" si="13"/>
        <v>857.08451893747031</v>
      </c>
      <c r="L21" s="105">
        <f t="shared" si="14"/>
        <v>4875.9264355985488</v>
      </c>
      <c r="M21" s="59">
        <f t="shared" si="15"/>
        <v>16542.007076331196</v>
      </c>
      <c r="N21" s="105">
        <f t="shared" ref="N21:N29" si="22">(N$16-$N$17)*D20</f>
        <v>633.70916820273681</v>
      </c>
      <c r="O21" s="105">
        <f t="shared" si="16"/>
        <v>54105.734051731488</v>
      </c>
      <c r="P21" s="105">
        <f t="shared" si="1"/>
        <v>10917.724670378588</v>
      </c>
      <c r="Q21" s="105">
        <f t="shared" si="17"/>
        <v>6586.4957529928279</v>
      </c>
      <c r="R21" s="105">
        <f t="shared" si="18"/>
        <v>47519.238298738659</v>
      </c>
      <c r="S21" s="105">
        <f t="shared" si="19"/>
        <v>2828.4937515691818</v>
      </c>
      <c r="T21" s="130">
        <f t="shared" si="2"/>
        <v>0.20178498382334023</v>
      </c>
      <c r="U21" s="59">
        <f t="shared" si="3"/>
        <v>1178.6925410669194</v>
      </c>
      <c r="V21" s="9"/>
      <c r="W21" s="11">
        <f t="shared" si="20"/>
        <v>0.21178088306708973</v>
      </c>
      <c r="X21" s="11">
        <f t="shared" si="4"/>
        <v>0.8100867586066387</v>
      </c>
      <c r="Y21" s="102">
        <f t="shared" si="5"/>
        <v>0.19477566769136181</v>
      </c>
      <c r="AD21" s="28"/>
      <c r="AF21" s="28"/>
    </row>
    <row r="22" spans="1:35" x14ac:dyDescent="0.25">
      <c r="A22" s="48"/>
      <c r="B22" s="48">
        <f t="shared" si="21"/>
        <v>4</v>
      </c>
      <c r="C22" s="83">
        <f t="shared" si="6"/>
        <v>2021</v>
      </c>
      <c r="D22" s="105">
        <f t="shared" si="7"/>
        <v>11946.385656571205</v>
      </c>
      <c r="E22" s="105">
        <f>'Rev Forecast'!K43</f>
        <v>52246.522493200006</v>
      </c>
      <c r="F22" s="105">
        <f t="shared" si="8"/>
        <v>11004.499704787862</v>
      </c>
      <c r="G22" s="105">
        <f t="shared" si="9"/>
        <v>4409.8914258157238</v>
      </c>
      <c r="H22" s="105">
        <f t="shared" si="10"/>
        <v>5033.6304280120812</v>
      </c>
      <c r="I22" s="105">
        <f t="shared" si="11"/>
        <v>3881.2828298625413</v>
      </c>
      <c r="J22" s="105">
        <f t="shared" si="12"/>
        <v>874.07246950032948</v>
      </c>
      <c r="K22" s="105">
        <f t="shared" si="13"/>
        <v>1011.4429875724138</v>
      </c>
      <c r="L22" s="105">
        <f t="shared" si="14"/>
        <v>5812.1887175022975</v>
      </c>
      <c r="M22" s="59">
        <f t="shared" si="15"/>
        <v>20219.513930146757</v>
      </c>
      <c r="N22" s="105">
        <f t="shared" si="22"/>
        <v>737.65767524014268</v>
      </c>
      <c r="O22" s="105">
        <f t="shared" si="16"/>
        <v>61953.61238797057</v>
      </c>
      <c r="P22" s="105">
        <f t="shared" si="1"/>
        <v>13344.879193896859</v>
      </c>
      <c r="Q22" s="105">
        <f t="shared" si="17"/>
        <v>7541.8476807981388</v>
      </c>
      <c r="R22" s="105">
        <f t="shared" si="18"/>
        <v>54411.764707172428</v>
      </c>
      <c r="S22" s="105">
        <f t="shared" si="19"/>
        <v>5497.000857657782</v>
      </c>
      <c r="T22" s="130">
        <f t="shared" si="2"/>
        <v>0.21540114739924368</v>
      </c>
      <c r="U22" s="59">
        <f t="shared" si="3"/>
        <v>2193.2289640621557</v>
      </c>
      <c r="V22" s="9"/>
      <c r="W22" s="11">
        <f t="shared" si="20"/>
        <v>0.19201731081671197</v>
      </c>
      <c r="X22" s="11">
        <f t="shared" si="4"/>
        <v>0.84331680558056732</v>
      </c>
      <c r="Y22" s="102">
        <f t="shared" si="5"/>
        <v>0.19282791101444821</v>
      </c>
      <c r="AD22" s="28"/>
      <c r="AF22" s="28"/>
    </row>
    <row r="23" spans="1:35" x14ac:dyDescent="0.25">
      <c r="A23" s="48"/>
      <c r="B23" s="48">
        <f t="shared" si="21"/>
        <v>5</v>
      </c>
      <c r="C23" s="83">
        <f t="shared" si="6"/>
        <v>2022</v>
      </c>
      <c r="D23" s="105">
        <f t="shared" si="7"/>
        <v>13188.800991152373</v>
      </c>
      <c r="E23" s="105">
        <f>'Rev Forecast'!K53</f>
        <v>61265.362310756005</v>
      </c>
      <c r="F23" s="105">
        <f t="shared" si="8"/>
        <v>12775.06488464724</v>
      </c>
      <c r="G23" s="105">
        <f t="shared" si="9"/>
        <v>5119.4193839211366</v>
      </c>
      <c r="H23" s="105">
        <f t="shared" si="10"/>
        <v>5725.4638563211729</v>
      </c>
      <c r="I23" s="105">
        <f t="shared" si="11"/>
        <v>4369.2222937837405</v>
      </c>
      <c r="J23" s="105">
        <f t="shared" si="12"/>
        <v>1004.4565015026466</v>
      </c>
      <c r="K23" s="105">
        <f t="shared" si="13"/>
        <v>1174.1787577800771</v>
      </c>
      <c r="L23" s="105">
        <f t="shared" si="14"/>
        <v>6815.4937516197733</v>
      </c>
      <c r="M23" s="59">
        <f t="shared" si="15"/>
        <v>24282.062881180216</v>
      </c>
      <c r="N23" s="105">
        <f t="shared" si="22"/>
        <v>836.2062340141747</v>
      </c>
      <c r="O23" s="105">
        <f t="shared" si="16"/>
        <v>69087.618763789971</v>
      </c>
      <c r="P23" s="105">
        <f t="shared" si="1"/>
        <v>16026.161501578941</v>
      </c>
      <c r="Q23" s="105">
        <f t="shared" si="17"/>
        <v>8410.297273427861</v>
      </c>
      <c r="R23" s="105">
        <f t="shared" si="18"/>
        <v>60677.321490362112</v>
      </c>
      <c r="S23" s="105">
        <f t="shared" si="19"/>
        <v>8892.1551257595365</v>
      </c>
      <c r="T23" s="130">
        <f t="shared" si="2"/>
        <v>0.231968647759771</v>
      </c>
      <c r="U23" s="59">
        <f t="shared" si="3"/>
        <v>3590.3901240967466</v>
      </c>
      <c r="V23" s="9"/>
      <c r="W23" s="11">
        <f t="shared" si="20"/>
        <v>0.17262086330683196</v>
      </c>
      <c r="X23" s="11">
        <f t="shared" si="4"/>
        <v>0.88677773828363948</v>
      </c>
      <c r="Y23" s="102">
        <f t="shared" si="5"/>
        <v>0.19089963190430373</v>
      </c>
      <c r="AD23" s="28"/>
      <c r="AF23" s="28"/>
    </row>
    <row r="24" spans="1:35" x14ac:dyDescent="0.25">
      <c r="A24" s="48"/>
      <c r="B24" s="48">
        <f t="shared" si="21"/>
        <v>6</v>
      </c>
      <c r="C24" s="83">
        <f t="shared" si="6"/>
        <v>2023</v>
      </c>
      <c r="D24" s="105">
        <f t="shared" si="7"/>
        <v>14202.916654571702</v>
      </c>
      <c r="E24" s="105">
        <f>E23*(1+'Rev Forecast'!$M$53-($E$17*(B24-$B$23)))</f>
        <v>70784.939856744357</v>
      </c>
      <c r="F24" s="105">
        <f t="shared" si="8"/>
        <v>14612.488097101026</v>
      </c>
      <c r="G24" s="105">
        <f t="shared" si="9"/>
        <v>5855.7397153823968</v>
      </c>
      <c r="H24" s="105">
        <f t="shared" si="10"/>
        <v>6416.6488445134128</v>
      </c>
      <c r="I24" s="105">
        <f t="shared" si="11"/>
        <v>4846.1989058155596</v>
      </c>
      <c r="J24" s="105">
        <f t="shared" si="12"/>
        <v>1137.321033591538</v>
      </c>
      <c r="K24" s="105">
        <f t="shared" si="13"/>
        <v>1343.0595677482561</v>
      </c>
      <c r="L24" s="105">
        <f t="shared" si="14"/>
        <v>7874.5035874491905</v>
      </c>
      <c r="M24" s="59">
        <f t="shared" si="15"/>
        <v>28698.980105142982</v>
      </c>
      <c r="N24" s="105">
        <f t="shared" si="22"/>
        <v>923.17106822242874</v>
      </c>
      <c r="O24" s="105">
        <f t="shared" si="16"/>
        <v>75151.430707603708</v>
      </c>
      <c r="P24" s="105">
        <f t="shared" si="1"/>
        <v>18941.326869394365</v>
      </c>
      <c r="Q24" s="105">
        <f t="shared" si="17"/>
        <v>9148.4680480206171</v>
      </c>
      <c r="R24" s="105">
        <f t="shared" si="18"/>
        <v>66002.962659583092</v>
      </c>
      <c r="S24" s="105">
        <f t="shared" si="19"/>
        <v>12877.514925580628</v>
      </c>
      <c r="T24" s="130">
        <f t="shared" si="2"/>
        <v>0.25204213267862524</v>
      </c>
      <c r="U24" s="59">
        <f t="shared" si="3"/>
        <v>5414.0693420256985</v>
      </c>
      <c r="V24" s="9"/>
      <c r="W24" s="11">
        <f t="shared" si="20"/>
        <v>0.15538270218173597</v>
      </c>
      <c r="X24" s="11">
        <f t="shared" si="4"/>
        <v>0.94189743548797722</v>
      </c>
      <c r="Y24" s="102">
        <f t="shared" si="5"/>
        <v>0.18899063558526069</v>
      </c>
      <c r="AD24" s="28"/>
      <c r="AF24" s="28"/>
    </row>
    <row r="25" spans="1:35" x14ac:dyDescent="0.25">
      <c r="A25" s="48"/>
      <c r="B25" s="48">
        <f t="shared" si="21"/>
        <v>7</v>
      </c>
      <c r="C25" s="83">
        <f t="shared" si="6"/>
        <v>2024</v>
      </c>
      <c r="D25" s="105">
        <f t="shared" si="7"/>
        <v>14879.946463809923</v>
      </c>
      <c r="E25" s="105">
        <f>E24*(1+'Rev Forecast'!$M$53-($E$17*(B25-$B$23)))</f>
        <v>80367.996288322072</v>
      </c>
      <c r="F25" s="105">
        <f t="shared" si="8"/>
        <v>16424.858559072167</v>
      </c>
      <c r="G25" s="105">
        <f t="shared" si="9"/>
        <v>6582.0205255105375</v>
      </c>
      <c r="H25" s="105">
        <f t="shared" si="10"/>
        <v>7066.7915409139041</v>
      </c>
      <c r="I25" s="105">
        <f t="shared" si="11"/>
        <v>5282.1987926352404</v>
      </c>
      <c r="J25" s="105">
        <f t="shared" si="12"/>
        <v>1265.4687357999396</v>
      </c>
      <c r="K25" s="105">
        <f t="shared" si="13"/>
        <v>1509.6377352088389</v>
      </c>
      <c r="L25" s="105">
        <f t="shared" si="14"/>
        <v>8940.5751614578367</v>
      </c>
      <c r="M25" s="59">
        <f t="shared" si="15"/>
        <v>33296.445237723616</v>
      </c>
      <c r="N25" s="105">
        <f t="shared" si="22"/>
        <v>994.15570442461001</v>
      </c>
      <c r="O25" s="105">
        <f t="shared" si="16"/>
        <v>79529.067177313424</v>
      </c>
      <c r="P25" s="105">
        <f t="shared" si="1"/>
        <v>21975.653856897585</v>
      </c>
      <c r="Q25" s="105">
        <f t="shared" si="17"/>
        <v>9681.3743013268122</v>
      </c>
      <c r="R25" s="105">
        <f t="shared" si="18"/>
        <v>69847.692875986613</v>
      </c>
      <c r="S25" s="105">
        <f t="shared" si="19"/>
        <v>17598.017387187869</v>
      </c>
      <c r="T25" s="130">
        <f t="shared" si="2"/>
        <v>0.27632228865330377</v>
      </c>
      <c r="U25" s="59">
        <f t="shared" si="3"/>
        <v>7660.4217649811708</v>
      </c>
      <c r="V25" s="9"/>
      <c r="W25" s="11">
        <f t="shared" si="20"/>
        <v>0.13538270218173601</v>
      </c>
      <c r="X25" s="11">
        <f t="shared" si="4"/>
        <v>1.010548710563123</v>
      </c>
      <c r="Y25" s="102">
        <f t="shared" si="5"/>
        <v>0.18710072922940807</v>
      </c>
      <c r="AD25" s="28"/>
      <c r="AF25" s="28"/>
    </row>
    <row r="26" spans="1:35" x14ac:dyDescent="0.25">
      <c r="A26" s="48"/>
      <c r="B26" s="48">
        <f t="shared" si="21"/>
        <v>8</v>
      </c>
      <c r="C26" s="83">
        <f t="shared" si="6"/>
        <v>2025</v>
      </c>
      <c r="D26" s="105">
        <f t="shared" si="7"/>
        <v>15161.494930334007</v>
      </c>
      <c r="E26" s="105">
        <f>E25*(1+'Rev Forecast'!$M$53-($E$17*(B26-$B$23)))</f>
        <v>89641.072869000403</v>
      </c>
      <c r="F26" s="105">
        <f t="shared" si="8"/>
        <v>18136.803091345017</v>
      </c>
      <c r="G26" s="105">
        <f t="shared" si="9"/>
        <v>7268.0571211639972</v>
      </c>
      <c r="H26" s="105">
        <f t="shared" si="10"/>
        <v>7645.7117333197966</v>
      </c>
      <c r="I26" s="105">
        <f t="shared" si="11"/>
        <v>5656.0062362789749</v>
      </c>
      <c r="J26" s="105">
        <f t="shared" si="12"/>
        <v>1383.2522993017812</v>
      </c>
      <c r="K26" s="105">
        <f t="shared" si="13"/>
        <v>1666.9855782486234</v>
      </c>
      <c r="L26" s="105">
        <f t="shared" si="14"/>
        <v>9972.1628826457527</v>
      </c>
      <c r="M26" s="59">
        <f t="shared" si="15"/>
        <v>37912.093926696456</v>
      </c>
      <c r="N26" s="105">
        <f t="shared" si="22"/>
        <v>1041.545480995821</v>
      </c>
      <c r="O26" s="105">
        <f t="shared" si="16"/>
        <v>81852.387250688509</v>
      </c>
      <c r="P26" s="105">
        <f t="shared" si="1"/>
        <v>25021.981991619657</v>
      </c>
      <c r="Q26" s="105">
        <f t="shared" si="17"/>
        <v>9964.2008457647262</v>
      </c>
      <c r="R26" s="105">
        <f t="shared" si="18"/>
        <v>71888.186404923777</v>
      </c>
      <c r="S26" s="105">
        <f t="shared" si="19"/>
        <v>22698.661918244579</v>
      </c>
      <c r="T26" s="130">
        <f t="shared" si="2"/>
        <v>0.30569642293981086</v>
      </c>
      <c r="U26" s="59">
        <f t="shared" si="3"/>
        <v>10288.552286495726</v>
      </c>
      <c r="V26" s="9"/>
      <c r="W26" s="11">
        <f t="shared" si="20"/>
        <v>0.11538270218173602</v>
      </c>
      <c r="X26" s="11">
        <f t="shared" si="4"/>
        <v>1.0951552652271161</v>
      </c>
      <c r="Y26" s="102">
        <f t="shared" si="5"/>
        <v>0.18522972193711398</v>
      </c>
      <c r="AD26" s="28"/>
      <c r="AF26" s="28"/>
    </row>
    <row r="27" spans="1:35" x14ac:dyDescent="0.25">
      <c r="A27" s="48"/>
      <c r="B27" s="48">
        <f t="shared" si="21"/>
        <v>9</v>
      </c>
      <c r="C27" s="83">
        <f t="shared" si="6"/>
        <v>2026</v>
      </c>
      <c r="D27" s="105">
        <f t="shared" si="7"/>
        <v>15019.651278383553</v>
      </c>
      <c r="E27" s="105">
        <f>E26*(1+'Rev Forecast'!$M$53-($E$17*(B27-$B$23)))</f>
        <v>98191.280625715561</v>
      </c>
      <c r="F27" s="105">
        <f t="shared" si="8"/>
        <v>19668.07297534421</v>
      </c>
      <c r="G27" s="105">
        <f t="shared" si="9"/>
        <v>7881.6910085019099</v>
      </c>
      <c r="H27" s="105">
        <f t="shared" si="10"/>
        <v>8123.7309671900484</v>
      </c>
      <c r="I27" s="105">
        <f t="shared" si="11"/>
        <v>5947.6717388659326</v>
      </c>
      <c r="J27" s="105">
        <f t="shared" si="12"/>
        <v>1484.8868285801186</v>
      </c>
      <c r="K27" s="105">
        <f t="shared" si="13"/>
        <v>1807.7272955279609</v>
      </c>
      <c r="L27" s="105">
        <f t="shared" si="14"/>
        <v>10923.334724988914</v>
      </c>
      <c r="M27" s="59">
        <f t="shared" si="15"/>
        <v>42354.165086716464</v>
      </c>
      <c r="N27" s="105">
        <f t="shared" si="22"/>
        <v>1061.2529129884479</v>
      </c>
      <c r="O27" s="105">
        <f t="shared" si="16"/>
        <v>81905.672421248237</v>
      </c>
      <c r="P27" s="105">
        <f t="shared" si="1"/>
        <v>27953.748957232863</v>
      </c>
      <c r="Q27" s="105">
        <f t="shared" si="17"/>
        <v>9970.6874512186623</v>
      </c>
      <c r="R27" s="105">
        <f t="shared" si="18"/>
        <v>71934.984970029574</v>
      </c>
      <c r="S27" s="105">
        <f t="shared" si="19"/>
        <v>27900.463786673128</v>
      </c>
      <c r="T27" s="130">
        <f t="shared" si="2"/>
        <v>0.34129197808747874</v>
      </c>
      <c r="U27" s="59">
        <f t="shared" si="3"/>
        <v>13210.727921408183</v>
      </c>
      <c r="V27" s="9"/>
      <c r="W27" s="11">
        <f t="shared" si="20"/>
        <v>9.5382702181735959E-2</v>
      </c>
      <c r="X27" s="11">
        <f t="shared" si="4"/>
        <v>1.1988337037355481</v>
      </c>
      <c r="Y27" s="102">
        <f t="shared" si="5"/>
        <v>0.18337742471774282</v>
      </c>
      <c r="AD27" s="28"/>
      <c r="AF27" s="28"/>
    </row>
    <row r="28" spans="1:35" x14ac:dyDescent="0.25">
      <c r="A28" s="48">
        <v>0</v>
      </c>
      <c r="B28" s="48">
        <f t="shared" si="21"/>
        <v>10</v>
      </c>
      <c r="C28" s="83">
        <f t="shared" si="6"/>
        <v>2027</v>
      </c>
      <c r="D28" s="105">
        <f t="shared" si="7"/>
        <v>14461.389933818604</v>
      </c>
      <c r="E28" s="105">
        <f>E27*(1+'Rev Forecast'!$M$53-($E$17*(B28-$B$23)))</f>
        <v>105593.20468996714</v>
      </c>
      <c r="F28" s="105">
        <f t="shared" si="8"/>
        <v>20939.198408303902</v>
      </c>
      <c r="G28" s="105">
        <f t="shared" si="9"/>
        <v>8391.0758327394324</v>
      </c>
      <c r="H28" s="105">
        <f t="shared" si="10"/>
        <v>8474.0361665154542</v>
      </c>
      <c r="I28" s="105">
        <f t="shared" si="11"/>
        <v>6140.1823739823267</v>
      </c>
      <c r="J28" s="105">
        <f t="shared" si="12"/>
        <v>1564.8851779495051</v>
      </c>
      <c r="K28" s="105">
        <f t="shared" si="13"/>
        <v>1924.5586772338149</v>
      </c>
      <c r="L28" s="105">
        <f t="shared" si="14"/>
        <v>11746.765213394168</v>
      </c>
      <c r="M28" s="59">
        <f t="shared" si="15"/>
        <v>46412.502839848537</v>
      </c>
      <c r="N28" s="105">
        <f t="shared" si="22"/>
        <v>1051.3243413328807</v>
      </c>
      <c r="O28" s="105">
        <f t="shared" si="16"/>
        <v>79657.921917590298</v>
      </c>
      <c r="P28" s="105">
        <f t="shared" si="1"/>
        <v>30632.251874300033</v>
      </c>
      <c r="Q28" s="105">
        <f t="shared" si="17"/>
        <v>9697.0602764727228</v>
      </c>
      <c r="R28" s="105">
        <f t="shared" si="18"/>
        <v>69960.861641117575</v>
      </c>
      <c r="S28" s="105">
        <f t="shared" si="19"/>
        <v>32880.002377957971</v>
      </c>
      <c r="T28" s="130">
        <f t="shared" si="2"/>
        <v>0.38454746416797658</v>
      </c>
      <c r="U28" s="59">
        <f t="shared" si="3"/>
        <v>16293.825929133778</v>
      </c>
      <c r="V28" s="9"/>
      <c r="W28" s="11">
        <f t="shared" si="20"/>
        <v>7.5382702181735997E-2</v>
      </c>
      <c r="X28" s="11">
        <f t="shared" si="4"/>
        <v>1.3255832207022431</v>
      </c>
      <c r="Y28" s="102">
        <f t="shared" si="5"/>
        <v>0.18154365047056539</v>
      </c>
      <c r="AD28" s="28"/>
      <c r="AF28" s="28"/>
    </row>
    <row r="29" spans="1:35" x14ac:dyDescent="0.25">
      <c r="A29" s="48">
        <v>1</v>
      </c>
      <c r="B29" s="48">
        <v>11</v>
      </c>
      <c r="C29" s="83">
        <f t="shared" si="6"/>
        <v>2028</v>
      </c>
      <c r="D29" s="105">
        <f t="shared" si="7"/>
        <v>15032.614836204439</v>
      </c>
      <c r="E29" s="105">
        <f>E28*(1+$E$4)</f>
        <v>110872.8649244655</v>
      </c>
      <c r="F29" s="105">
        <f t="shared" si="8"/>
        <v>21766.296745431908</v>
      </c>
      <c r="G29" s="105">
        <f t="shared" si="9"/>
        <v>8722.52332813264</v>
      </c>
      <c r="H29" s="105">
        <f>H$16*$E29*(1-$H$17)^B29</f>
        <v>8630.8058355959893</v>
      </c>
      <c r="I29" s="105">
        <f t="shared" si="11"/>
        <v>6189.3038329741858</v>
      </c>
      <c r="J29" s="105">
        <f t="shared" si="12"/>
        <v>1610.2668481100407</v>
      </c>
      <c r="K29" s="105">
        <f t="shared" si="13"/>
        <v>2000.5787449845504</v>
      </c>
      <c r="L29" s="105">
        <f t="shared" si="14"/>
        <v>12334.103474063875</v>
      </c>
      <c r="M29" s="59">
        <f t="shared" si="15"/>
        <v>49618.986115172302</v>
      </c>
      <c r="N29" s="105">
        <f t="shared" si="22"/>
        <v>1012.247952042069</v>
      </c>
      <c r="O29" s="105">
        <f t="shared" si="16"/>
        <v>83640.81801346982</v>
      </c>
      <c r="P29" s="105">
        <f t="shared" si="1"/>
        <v>32748.530836013717</v>
      </c>
      <c r="Q29" s="105">
        <f>Q28*(1+$E$4)</f>
        <v>10181.913290296359</v>
      </c>
      <c r="R29" s="105">
        <f>R28*(1+$E$4)</f>
        <v>73458.904723173458</v>
      </c>
      <c r="S29" s="105">
        <f t="shared" si="19"/>
        <v>28765.634740134195</v>
      </c>
      <c r="T29" s="130">
        <f t="shared" si="2"/>
        <v>0.3915376680168261</v>
      </c>
      <c r="U29" s="59">
        <f t="shared" si="3"/>
        <v>17693.183593589147</v>
      </c>
      <c r="W29" s="11">
        <f t="shared" si="20"/>
        <v>4.9999999999999982E-2</v>
      </c>
      <c r="X29" s="11">
        <f t="shared" si="4"/>
        <v>1.3255832207022429</v>
      </c>
      <c r="Y29" s="102">
        <f t="shared" si="5"/>
        <v>0.17972821396585972</v>
      </c>
      <c r="AA29" s="82"/>
      <c r="AB29" s="82"/>
      <c r="AD29" s="28"/>
      <c r="AF29" s="28"/>
    </row>
    <row r="30" spans="1:35" x14ac:dyDescent="0.25">
      <c r="A30" s="48"/>
      <c r="B30" s="48"/>
      <c r="C30" s="83"/>
      <c r="D30" s="105"/>
      <c r="E30" s="105"/>
      <c r="F30" s="105"/>
      <c r="G30" s="105"/>
      <c r="H30" s="105"/>
      <c r="I30" s="105"/>
      <c r="J30" s="105"/>
      <c r="K30" s="105"/>
      <c r="L30" s="105"/>
      <c r="M30" s="59"/>
      <c r="N30" s="105"/>
      <c r="O30" s="105"/>
      <c r="P30" s="105"/>
      <c r="Q30" s="105"/>
      <c r="R30" s="105"/>
      <c r="S30" s="105"/>
      <c r="T30" s="130"/>
      <c r="U30" s="59"/>
      <c r="W30" s="11"/>
      <c r="X30" s="11"/>
      <c r="Y30" s="102"/>
      <c r="AA30" s="82"/>
      <c r="AB30" s="82"/>
      <c r="AD30" s="28"/>
      <c r="AF30" s="28"/>
    </row>
    <row r="31" spans="1:35" ht="17.25" x14ac:dyDescent="0.25">
      <c r="A31" s="147" t="s">
        <v>214</v>
      </c>
      <c r="B31" s="154" t="s">
        <v>266</v>
      </c>
      <c r="C31" s="83"/>
      <c r="D31" s="105"/>
      <c r="E31" s="105"/>
      <c r="F31" s="105"/>
      <c r="G31" s="105"/>
      <c r="H31" s="105"/>
      <c r="I31" s="105"/>
      <c r="J31" s="105"/>
      <c r="K31" s="105"/>
      <c r="L31" s="105"/>
      <c r="M31" s="59"/>
      <c r="N31" s="105"/>
      <c r="O31" s="105"/>
      <c r="P31" s="105"/>
      <c r="Q31" s="105"/>
      <c r="R31" s="105"/>
      <c r="S31" s="105"/>
      <c r="T31" s="130"/>
      <c r="U31" s="59"/>
      <c r="W31" s="11"/>
      <c r="X31" s="11"/>
      <c r="Y31" s="102"/>
      <c r="AA31" s="82"/>
      <c r="AB31" s="82"/>
      <c r="AD31" s="28"/>
      <c r="AF31" s="28"/>
    </row>
    <row r="32" spans="1:35" ht="17.25" x14ac:dyDescent="0.25">
      <c r="A32" s="147" t="s">
        <v>233</v>
      </c>
      <c r="B32" s="154" t="s">
        <v>275</v>
      </c>
      <c r="C32" s="83"/>
      <c r="D32" s="105"/>
      <c r="E32" s="105"/>
      <c r="F32" s="105"/>
      <c r="G32" s="105"/>
      <c r="H32" s="105"/>
      <c r="I32" s="105"/>
      <c r="J32" s="105"/>
      <c r="K32" s="105"/>
      <c r="L32" s="105"/>
      <c r="M32" s="59"/>
      <c r="N32" s="105"/>
      <c r="O32" s="105"/>
      <c r="P32" s="105"/>
      <c r="Q32" s="105"/>
      <c r="R32" s="105"/>
      <c r="S32" s="105"/>
      <c r="T32" s="130"/>
      <c r="U32" s="59"/>
      <c r="W32" s="11"/>
      <c r="X32" s="11"/>
      <c r="Y32" s="102"/>
      <c r="AA32" s="82"/>
      <c r="AB32" s="82"/>
      <c r="AD32" s="28"/>
      <c r="AF32" s="28"/>
    </row>
    <row r="33" spans="1:32" ht="17.25" x14ac:dyDescent="0.25">
      <c r="A33" s="147" t="s">
        <v>264</v>
      </c>
      <c r="B33" s="154" t="s">
        <v>234</v>
      </c>
      <c r="C33" s="83"/>
      <c r="D33" s="105"/>
      <c r="E33" s="105"/>
      <c r="F33" s="105"/>
      <c r="G33" s="105"/>
      <c r="H33" s="105"/>
      <c r="I33" s="105"/>
      <c r="J33" s="105"/>
      <c r="K33" s="105"/>
      <c r="L33" s="105"/>
      <c r="M33" s="59"/>
      <c r="N33" s="105"/>
      <c r="O33" s="105"/>
      <c r="P33" s="105"/>
      <c r="Q33" s="105"/>
      <c r="R33" s="105"/>
      <c r="S33" s="105"/>
      <c r="T33" s="130"/>
      <c r="U33" s="59"/>
      <c r="W33" s="11"/>
      <c r="X33" s="11"/>
      <c r="Y33" s="102"/>
      <c r="AA33" s="82"/>
      <c r="AB33" s="82"/>
      <c r="AD33" s="28"/>
      <c r="AF33" s="28"/>
    </row>
    <row r="34" spans="1:32" ht="17.25" x14ac:dyDescent="0.25">
      <c r="A34" s="147" t="s">
        <v>269</v>
      </c>
      <c r="B34" s="154" t="s">
        <v>270</v>
      </c>
      <c r="C34" s="78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83"/>
      <c r="V34" s="63"/>
      <c r="W34" s="63"/>
      <c r="X34" s="84"/>
      <c r="Y34" s="84"/>
      <c r="Z34" s="84"/>
      <c r="AA34" s="84"/>
      <c r="AB34" s="84"/>
    </row>
    <row r="35" spans="1:32" ht="17.25" x14ac:dyDescent="0.25">
      <c r="A35" s="147" t="s">
        <v>273</v>
      </c>
      <c r="B35" s="154" t="s">
        <v>274</v>
      </c>
      <c r="C35" s="78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83"/>
      <c r="V35" s="63"/>
      <c r="W35" s="63"/>
      <c r="X35" s="84"/>
      <c r="Y35" s="84"/>
      <c r="Z35" s="84"/>
      <c r="AA35" s="84"/>
      <c r="AB35" s="84"/>
    </row>
    <row r="36" spans="1:32" ht="17.25" x14ac:dyDescent="0.25">
      <c r="A36" s="147" t="s">
        <v>277</v>
      </c>
      <c r="B36" s="154" t="s">
        <v>278</v>
      </c>
      <c r="C36" s="78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/>
      <c r="T36" s="79"/>
      <c r="U36" s="83"/>
      <c r="V36" s="63"/>
      <c r="W36" s="63"/>
      <c r="X36" s="84"/>
      <c r="Y36" s="84"/>
      <c r="Z36" s="84"/>
      <c r="AA36" s="84"/>
      <c r="AB36" s="84"/>
    </row>
    <row r="37" spans="1:32" x14ac:dyDescent="0.25">
      <c r="M37" s="290" t="s">
        <v>129</v>
      </c>
      <c r="N37" s="290"/>
      <c r="O37" s="290"/>
      <c r="P37" s="290"/>
      <c r="Q37" s="290"/>
      <c r="R37" s="290"/>
      <c r="S37" s="161"/>
      <c r="T37" s="161"/>
      <c r="U37" s="161"/>
      <c r="V37" s="161"/>
      <c r="W37" s="155"/>
      <c r="X37" s="155"/>
      <c r="Y37" s="155"/>
    </row>
    <row r="38" spans="1:32" ht="18" x14ac:dyDescent="0.35">
      <c r="C38" s="287" t="s">
        <v>303</v>
      </c>
      <c r="D38" s="287"/>
      <c r="E38" s="287"/>
      <c r="F38" s="287"/>
      <c r="G38" s="296" t="s">
        <v>126</v>
      </c>
      <c r="H38" s="296"/>
      <c r="I38" s="296"/>
      <c r="J38" s="297" t="s">
        <v>130</v>
      </c>
      <c r="K38" s="297"/>
      <c r="L38" s="297"/>
      <c r="M38" s="298" t="s">
        <v>131</v>
      </c>
      <c r="N38" s="298"/>
      <c r="O38" s="298"/>
      <c r="P38" s="298" t="s">
        <v>132</v>
      </c>
      <c r="Q38" s="298"/>
      <c r="R38" s="298"/>
      <c r="S38" s="299" t="s">
        <v>293</v>
      </c>
      <c r="T38" s="299"/>
      <c r="U38" s="299"/>
      <c r="V38" s="300" t="s">
        <v>294</v>
      </c>
      <c r="W38" s="300"/>
      <c r="X38" s="300"/>
      <c r="Y38" s="301" t="s">
        <v>295</v>
      </c>
      <c r="Z38" s="301"/>
      <c r="AA38" s="301"/>
    </row>
    <row r="39" spans="1:32" ht="33" x14ac:dyDescent="0.35">
      <c r="C39" s="85" t="s">
        <v>120</v>
      </c>
      <c r="D39" s="85" t="s">
        <v>133</v>
      </c>
      <c r="E39" s="85" t="s">
        <v>134</v>
      </c>
      <c r="F39" s="85" t="s">
        <v>135</v>
      </c>
      <c r="G39" s="86" t="s">
        <v>126</v>
      </c>
      <c r="H39" s="86" t="s">
        <v>136</v>
      </c>
      <c r="I39" s="86" t="s">
        <v>137</v>
      </c>
      <c r="J39" s="87" t="s">
        <v>126</v>
      </c>
      <c r="K39" s="87" t="s">
        <v>138</v>
      </c>
      <c r="L39" s="87" t="s">
        <v>139</v>
      </c>
      <c r="M39" s="88" t="s">
        <v>126</v>
      </c>
      <c r="N39" s="88" t="s">
        <v>140</v>
      </c>
      <c r="O39" s="88" t="s">
        <v>141</v>
      </c>
      <c r="P39" s="88" t="s">
        <v>142</v>
      </c>
      <c r="Q39" s="88" t="s">
        <v>143</v>
      </c>
      <c r="R39" s="88" t="s">
        <v>144</v>
      </c>
      <c r="S39" s="89" t="s">
        <v>126</v>
      </c>
      <c r="T39" s="89" t="s">
        <v>145</v>
      </c>
      <c r="U39" s="89" t="s">
        <v>146</v>
      </c>
      <c r="V39" s="90" t="s">
        <v>126</v>
      </c>
      <c r="W39" s="90" t="s">
        <v>147</v>
      </c>
      <c r="X39" s="90" t="s">
        <v>148</v>
      </c>
      <c r="Y39" s="91" t="s">
        <v>126</v>
      </c>
      <c r="Z39" s="91" t="s">
        <v>149</v>
      </c>
      <c r="AA39" s="91" t="s">
        <v>150</v>
      </c>
    </row>
    <row r="40" spans="1:32" x14ac:dyDescent="0.25">
      <c r="C40" s="92">
        <f>C14</f>
        <v>2017</v>
      </c>
      <c r="D40" s="162">
        <f>U14</f>
        <v>-172.80000000000067</v>
      </c>
      <c r="E40" s="163"/>
      <c r="F40" s="160"/>
      <c r="G40" s="164">
        <f>S14</f>
        <v>1912.5999999999985</v>
      </c>
      <c r="H40" s="164"/>
      <c r="I40" s="164"/>
      <c r="J40" s="165">
        <f>S14</f>
        <v>1912.5999999999985</v>
      </c>
      <c r="K40" s="165"/>
      <c r="L40" s="165"/>
      <c r="M40" s="166">
        <f>S14</f>
        <v>1912.5999999999985</v>
      </c>
      <c r="N40" s="167"/>
      <c r="O40" s="167"/>
      <c r="P40" s="166">
        <f>N14*$E$7</f>
        <v>329.8</v>
      </c>
      <c r="Q40" s="167"/>
      <c r="R40" s="167"/>
      <c r="S40" s="168">
        <f>S14</f>
        <v>1912.5999999999985</v>
      </c>
      <c r="T40" s="169"/>
      <c r="U40" s="169"/>
      <c r="V40" s="170">
        <f>S14</f>
        <v>1912.5999999999985</v>
      </c>
      <c r="W40" s="171"/>
      <c r="X40" s="171"/>
      <c r="Y40" s="172">
        <f>S14</f>
        <v>1912.5999999999985</v>
      </c>
      <c r="Z40" s="173"/>
      <c r="AA40" s="173"/>
    </row>
    <row r="41" spans="1:32" x14ac:dyDescent="0.25">
      <c r="B41">
        <v>1</v>
      </c>
      <c r="C41" s="92">
        <f>C19</f>
        <v>2018</v>
      </c>
      <c r="D41" s="162">
        <f>U19</f>
        <v>65.658025828295692</v>
      </c>
      <c r="E41" s="163">
        <f t="shared" ref="E41:E49" si="23">D41/((1+$E$8)^$B41)</f>
        <v>55.642394769742111</v>
      </c>
      <c r="F41" s="163">
        <f>E41</f>
        <v>55.642394769742111</v>
      </c>
      <c r="G41" s="164">
        <f>S19</f>
        <v>1652.167288029028</v>
      </c>
      <c r="H41" s="164">
        <f>G41/((1+$E$8)^$B41)</f>
        <v>1400.1417695161256</v>
      </c>
      <c r="I41" s="164">
        <f>H41</f>
        <v>1400.1417695161256</v>
      </c>
      <c r="J41" s="165">
        <f>S19</f>
        <v>1652.167288029028</v>
      </c>
      <c r="K41" s="165">
        <f>J41/((1+$E$8)^$B41)</f>
        <v>1400.1417695161256</v>
      </c>
      <c r="L41" s="165">
        <f>K41</f>
        <v>1400.1417695161256</v>
      </c>
      <c r="M41" s="166">
        <f>S19</f>
        <v>1652.167288029028</v>
      </c>
      <c r="N41" s="166">
        <f>S19/((1+$I$7)^$B19)</f>
        <v>1395.4115608353277</v>
      </c>
      <c r="O41" s="166">
        <f>N41</f>
        <v>1395.4115608353277</v>
      </c>
      <c r="P41" s="166">
        <f>N19*$E$7</f>
        <v>155.40642451443574</v>
      </c>
      <c r="Q41" s="166">
        <f>P41/((1+$M$7)^$B41)</f>
        <v>138.44300331789415</v>
      </c>
      <c r="R41" s="166">
        <f>Q41</f>
        <v>138.44300331789415</v>
      </c>
      <c r="S41" s="168">
        <f>S19</f>
        <v>1652.167288029028</v>
      </c>
      <c r="T41" s="168">
        <f t="shared" ref="T41:T43" si="24">S41/((1+$E$8)^$B41)</f>
        <v>1400.1417695161256</v>
      </c>
      <c r="U41" s="168">
        <f>T41</f>
        <v>1400.1417695161256</v>
      </c>
      <c r="V41" s="170">
        <f>S19</f>
        <v>1652.167288029028</v>
      </c>
      <c r="W41" s="168">
        <f>V41/((1+$E$8)^$B41)</f>
        <v>1400.1417695161256</v>
      </c>
      <c r="X41" s="170">
        <f>W41</f>
        <v>1400.1417695161256</v>
      </c>
      <c r="Y41" s="172">
        <f>S19</f>
        <v>1652.167288029028</v>
      </c>
      <c r="Z41" s="172">
        <f>Y41/((1+$E$8)^B41)</f>
        <v>1400.1417695161256</v>
      </c>
      <c r="AA41" s="172">
        <f>Z41</f>
        <v>1400.1417695161256</v>
      </c>
    </row>
    <row r="42" spans="1:32" x14ac:dyDescent="0.25">
      <c r="B42">
        <f>B41+1</f>
        <v>2</v>
      </c>
      <c r="C42" s="92">
        <f>C20</f>
        <v>2019</v>
      </c>
      <c r="D42" s="162">
        <f>U20</f>
        <v>491.48472410476285</v>
      </c>
      <c r="E42" s="163">
        <f t="shared" si="23"/>
        <v>352.97667631769815</v>
      </c>
      <c r="F42" s="163">
        <f>F41+E42</f>
        <v>408.61907108744026</v>
      </c>
      <c r="G42" s="164">
        <f>S20</f>
        <v>493.91646949800815</v>
      </c>
      <c r="H42" s="164">
        <f t="shared" ref="H42:H49" si="25">G42/((1+$E$8)^$B42)</f>
        <v>354.72311799627136</v>
      </c>
      <c r="I42" s="164">
        <f>I41+H42</f>
        <v>1754.864887512397</v>
      </c>
      <c r="J42" s="165">
        <f>S20</f>
        <v>493.91646949800815</v>
      </c>
      <c r="K42" s="165">
        <f t="shared" ref="K42:K50" si="26">J42/((1+$E$8)^$B42)</f>
        <v>354.72311799627136</v>
      </c>
      <c r="L42" s="165">
        <f>L41+K42</f>
        <v>1754.864887512397</v>
      </c>
      <c r="M42" s="166">
        <f>S20</f>
        <v>493.91646949800815</v>
      </c>
      <c r="N42" s="166">
        <f t="shared" ref="N42:N50" si="27">S20/((1+$I$7)^$B20)</f>
        <v>352.33038878316194</v>
      </c>
      <c r="O42" s="166">
        <f>O41+N42</f>
        <v>1747.7419496184896</v>
      </c>
      <c r="P42" s="166">
        <f>N20*$E$7</f>
        <v>178.47424459903337</v>
      </c>
      <c r="Q42" s="166">
        <f t="shared" ref="Q42:Q50" si="28">P42/((1+$M$7)^$B42)</f>
        <v>141.63795231608631</v>
      </c>
      <c r="R42" s="166">
        <f>R41+Q42</f>
        <v>280.08095563398047</v>
      </c>
      <c r="S42" s="168">
        <f>S20</f>
        <v>493.91646949800815</v>
      </c>
      <c r="T42" s="168">
        <f t="shared" si="24"/>
        <v>354.72311799627136</v>
      </c>
      <c r="U42" s="168">
        <f>U41+T42</f>
        <v>1754.864887512397</v>
      </c>
      <c r="V42" s="170">
        <f t="shared" ref="V42:V50" si="29">S20</f>
        <v>493.91646949800815</v>
      </c>
      <c r="W42" s="168">
        <f t="shared" ref="W42:W50" si="30">V42/((1+$E$8)^$B42)</f>
        <v>354.72311799627136</v>
      </c>
      <c r="X42" s="170">
        <f>X41+W42</f>
        <v>1754.864887512397</v>
      </c>
      <c r="Y42" s="172">
        <f t="shared" ref="Y42:Y50" si="31">S20</f>
        <v>493.91646949800815</v>
      </c>
      <c r="Z42" s="172">
        <f t="shared" ref="Z42:Z50" si="32">Y42/((1+$E$8)^B42)</f>
        <v>354.72311799627136</v>
      </c>
      <c r="AA42" s="166">
        <f>AA41+Z42</f>
        <v>1754.864887512397</v>
      </c>
    </row>
    <row r="43" spans="1:32" x14ac:dyDescent="0.25">
      <c r="B43">
        <f t="shared" ref="B43:B50" si="33">B42+1</f>
        <v>3</v>
      </c>
      <c r="C43" s="92">
        <f>C21</f>
        <v>2020</v>
      </c>
      <c r="D43" s="162">
        <f>U21</f>
        <v>1178.6925410669194</v>
      </c>
      <c r="E43" s="163">
        <f t="shared" si="23"/>
        <v>717.38866989012968</v>
      </c>
      <c r="F43" s="163">
        <f t="shared" ref="F43:F50" si="34">F42+E43</f>
        <v>1126.0077409775699</v>
      </c>
      <c r="G43" s="164">
        <f>S21</f>
        <v>2828.4937515691818</v>
      </c>
      <c r="H43" s="164">
        <f t="shared" si="25"/>
        <v>1721.5086203854714</v>
      </c>
      <c r="I43" s="164">
        <f t="shared" ref="I43:I50" si="35">I42+H43</f>
        <v>3476.3735078978684</v>
      </c>
      <c r="J43" s="165">
        <f>S21</f>
        <v>2828.4937515691818</v>
      </c>
      <c r="K43" s="165">
        <f t="shared" si="26"/>
        <v>1721.5086203854714</v>
      </c>
      <c r="L43" s="165">
        <f t="shared" ref="L43:L50" si="36">L42+K43</f>
        <v>3476.3735078978684</v>
      </c>
      <c r="M43" s="166">
        <f>S21</f>
        <v>2828.4937515691818</v>
      </c>
      <c r="N43" s="166">
        <f t="shared" si="27"/>
        <v>1704.1197765105101</v>
      </c>
      <c r="O43" s="166">
        <f>O42+N43</f>
        <v>3451.8617261289996</v>
      </c>
      <c r="P43" s="166">
        <f>N21*$E$7</f>
        <v>215.46111718893053</v>
      </c>
      <c r="Q43" s="166">
        <f t="shared" si="28"/>
        <v>152.32635073981083</v>
      </c>
      <c r="R43" s="166">
        <f t="shared" ref="R43:R50" si="37">R42+Q43</f>
        <v>432.4073063737913</v>
      </c>
      <c r="S43" s="168">
        <f>S21</f>
        <v>2828.4937515691818</v>
      </c>
      <c r="T43" s="168">
        <f t="shared" si="24"/>
        <v>1721.5086203854714</v>
      </c>
      <c r="U43" s="168">
        <f>U42+T43</f>
        <v>3476.3735078978684</v>
      </c>
      <c r="V43" s="170">
        <f t="shared" si="29"/>
        <v>2828.4937515691818</v>
      </c>
      <c r="W43" s="168">
        <f t="shared" si="30"/>
        <v>1721.5086203854714</v>
      </c>
      <c r="X43" s="170">
        <f t="shared" ref="X43:X50" si="38">X42+W43</f>
        <v>3476.3735078978684</v>
      </c>
      <c r="Y43" s="172">
        <f t="shared" si="31"/>
        <v>2828.4937515691818</v>
      </c>
      <c r="Z43" s="172">
        <f t="shared" si="32"/>
        <v>1721.5086203854714</v>
      </c>
      <c r="AA43" s="166">
        <f t="shared" ref="AA43:AA50" si="39">AA42+Z43</f>
        <v>3476.3735078978684</v>
      </c>
    </row>
    <row r="44" spans="1:32" x14ac:dyDescent="0.25">
      <c r="B44">
        <f t="shared" si="33"/>
        <v>4</v>
      </c>
      <c r="C44" s="92">
        <f>C22</f>
        <v>2021</v>
      </c>
      <c r="D44" s="162">
        <f>U22</f>
        <v>2193.2289640621557</v>
      </c>
      <c r="E44" s="163">
        <f t="shared" si="23"/>
        <v>1131.2431003242766</v>
      </c>
      <c r="F44" s="163">
        <f t="shared" si="34"/>
        <v>2257.2508413018468</v>
      </c>
      <c r="G44" s="164">
        <f>S22</f>
        <v>5497.000857657782</v>
      </c>
      <c r="H44" s="164">
        <f t="shared" si="25"/>
        <v>2835.2918890805636</v>
      </c>
      <c r="I44" s="164">
        <f t="shared" si="35"/>
        <v>6311.665396978432</v>
      </c>
      <c r="J44" s="165">
        <f>S22</f>
        <v>5497.000857657782</v>
      </c>
      <c r="K44" s="165">
        <f t="shared" si="26"/>
        <v>2835.2918890805636</v>
      </c>
      <c r="L44" s="165">
        <f t="shared" si="36"/>
        <v>6311.665396978432</v>
      </c>
      <c r="M44" s="166">
        <f>S22</f>
        <v>5497.000857657782</v>
      </c>
      <c r="N44" s="166">
        <f t="shared" si="27"/>
        <v>2797.1708594999882</v>
      </c>
      <c r="O44" s="166">
        <f>O43+N44</f>
        <v>6249.0325856289874</v>
      </c>
      <c r="P44" s="166">
        <f>N22*$E$7</f>
        <v>250.80360958164852</v>
      </c>
      <c r="Q44" s="166">
        <f t="shared" si="28"/>
        <v>157.95812015574717</v>
      </c>
      <c r="R44" s="166">
        <f t="shared" si="37"/>
        <v>590.36542652953847</v>
      </c>
      <c r="S44" s="168">
        <f>S22</f>
        <v>5497.000857657782</v>
      </c>
      <c r="T44" s="168">
        <f>S44/((1+$E$8)^$B44)</f>
        <v>2835.2918890805636</v>
      </c>
      <c r="U44" s="168">
        <f>U43+T44</f>
        <v>6311.665396978432</v>
      </c>
      <c r="V44" s="170">
        <f t="shared" si="29"/>
        <v>5497.000857657782</v>
      </c>
      <c r="W44" s="168">
        <f t="shared" si="30"/>
        <v>2835.2918890805636</v>
      </c>
      <c r="X44" s="170">
        <f t="shared" si="38"/>
        <v>6311.665396978432</v>
      </c>
      <c r="Y44" s="172">
        <f t="shared" si="31"/>
        <v>5497.000857657782</v>
      </c>
      <c r="Z44" s="172">
        <f t="shared" si="32"/>
        <v>2835.2918890805636</v>
      </c>
      <c r="AA44" s="166">
        <f t="shared" si="39"/>
        <v>6311.665396978432</v>
      </c>
    </row>
    <row r="45" spans="1:32" x14ac:dyDescent="0.25">
      <c r="B45">
        <f t="shared" si="33"/>
        <v>5</v>
      </c>
      <c r="C45" s="92">
        <f t="shared" ref="C45:C49" si="40">C23</f>
        <v>2022</v>
      </c>
      <c r="D45" s="162">
        <f t="shared" ref="D45:D49" si="41">U23</f>
        <v>3590.3901240967466</v>
      </c>
      <c r="E45" s="163">
        <f t="shared" si="23"/>
        <v>1569.3926131055082</v>
      </c>
      <c r="F45" s="163">
        <f t="shared" si="34"/>
        <v>3826.643454407355</v>
      </c>
      <c r="G45" s="164">
        <f t="shared" ref="G45:G50" si="42">S23</f>
        <v>8892.1551257595365</v>
      </c>
      <c r="H45" s="164">
        <f t="shared" si="25"/>
        <v>3886.8429576204071</v>
      </c>
      <c r="I45" s="164">
        <f t="shared" si="35"/>
        <v>10198.508354598838</v>
      </c>
      <c r="J45" s="165">
        <f t="shared" ref="J45:J49" si="43">S23</f>
        <v>8892.1551257595365</v>
      </c>
      <c r="K45" s="165">
        <f t="shared" si="26"/>
        <v>3886.8429576204071</v>
      </c>
      <c r="L45" s="165">
        <f t="shared" si="36"/>
        <v>10198.508354598838</v>
      </c>
      <c r="M45" s="166">
        <f t="shared" ref="M45:M50" si="44">S23</f>
        <v>8892.1551257595365</v>
      </c>
      <c r="N45" s="166">
        <f t="shared" si="27"/>
        <v>3821.6289528917878</v>
      </c>
      <c r="O45" s="166">
        <f t="shared" ref="O45:O50" si="45">O44+N45</f>
        <v>10070.661538520775</v>
      </c>
      <c r="P45" s="166">
        <f t="shared" ref="P45:P50" si="46">N23*$E$7</f>
        <v>284.31011956481944</v>
      </c>
      <c r="Q45" s="166">
        <f t="shared" si="28"/>
        <v>159.51536996812237</v>
      </c>
      <c r="R45" s="166">
        <f t="shared" si="37"/>
        <v>749.88079649766087</v>
      </c>
      <c r="S45" s="168">
        <f t="shared" ref="S45:S50" si="47">S23</f>
        <v>8892.1551257595365</v>
      </c>
      <c r="T45" s="168">
        <f t="shared" ref="T45:T50" si="48">S45/((1+$E$8)^$B45)</f>
        <v>3886.8429576204071</v>
      </c>
      <c r="U45" s="168">
        <f t="shared" ref="U45:U50" si="49">U44+T45</f>
        <v>10198.508354598838</v>
      </c>
      <c r="V45" s="170">
        <f t="shared" si="29"/>
        <v>8892.1551257595365</v>
      </c>
      <c r="W45" s="168">
        <f t="shared" si="30"/>
        <v>3886.8429576204071</v>
      </c>
      <c r="X45" s="170">
        <f t="shared" si="38"/>
        <v>10198.508354598838</v>
      </c>
      <c r="Y45" s="172">
        <f t="shared" si="31"/>
        <v>8892.1551257595365</v>
      </c>
      <c r="Z45" s="172">
        <f t="shared" si="32"/>
        <v>3886.8429576204071</v>
      </c>
      <c r="AA45" s="166">
        <f t="shared" si="39"/>
        <v>10198.508354598838</v>
      </c>
    </row>
    <row r="46" spans="1:32" x14ac:dyDescent="0.25">
      <c r="B46">
        <f t="shared" si="33"/>
        <v>6</v>
      </c>
      <c r="C46" s="92">
        <f t="shared" si="40"/>
        <v>2023</v>
      </c>
      <c r="D46" s="162">
        <f t="shared" si="41"/>
        <v>5414.0693420256985</v>
      </c>
      <c r="E46" s="163">
        <f t="shared" si="23"/>
        <v>2005.5420395849221</v>
      </c>
      <c r="F46" s="163">
        <f t="shared" si="34"/>
        <v>5832.1854939922769</v>
      </c>
      <c r="G46" s="164">
        <f t="shared" si="42"/>
        <v>12877.514925580628</v>
      </c>
      <c r="H46" s="164">
        <f t="shared" si="25"/>
        <v>4770.2376746750688</v>
      </c>
      <c r="I46" s="164">
        <f t="shared" si="35"/>
        <v>14968.746029273907</v>
      </c>
      <c r="J46" s="165">
        <f t="shared" si="43"/>
        <v>12877.514925580628</v>
      </c>
      <c r="K46" s="165">
        <f t="shared" si="26"/>
        <v>4770.2376746750688</v>
      </c>
      <c r="L46" s="165">
        <f t="shared" si="36"/>
        <v>14968.746029273907</v>
      </c>
      <c r="M46" s="166">
        <f t="shared" si="44"/>
        <v>12877.514925580628</v>
      </c>
      <c r="N46" s="166">
        <f t="shared" si="27"/>
        <v>4674.3566707158643</v>
      </c>
      <c r="O46" s="166">
        <f t="shared" si="45"/>
        <v>14745.018209236639</v>
      </c>
      <c r="P46" s="166">
        <f t="shared" si="46"/>
        <v>313.8781631956258</v>
      </c>
      <c r="Q46" s="166">
        <f t="shared" si="28"/>
        <v>156.88208893573082</v>
      </c>
      <c r="R46" s="166">
        <f t="shared" si="37"/>
        <v>906.76288543339172</v>
      </c>
      <c r="S46" s="168">
        <f t="shared" si="47"/>
        <v>12877.514925580628</v>
      </c>
      <c r="T46" s="168">
        <f t="shared" si="48"/>
        <v>4770.2376746750688</v>
      </c>
      <c r="U46" s="168">
        <f t="shared" si="49"/>
        <v>14968.746029273907</v>
      </c>
      <c r="V46" s="170">
        <f t="shared" si="29"/>
        <v>12877.514925580628</v>
      </c>
      <c r="W46" s="168">
        <f t="shared" si="30"/>
        <v>4770.2376746750688</v>
      </c>
      <c r="X46" s="170">
        <f t="shared" si="38"/>
        <v>14968.746029273907</v>
      </c>
      <c r="Y46" s="172">
        <f t="shared" si="31"/>
        <v>12877.514925580628</v>
      </c>
      <c r="Z46" s="172">
        <f t="shared" si="32"/>
        <v>4770.2376746750688</v>
      </c>
      <c r="AA46" s="166">
        <f t="shared" si="39"/>
        <v>14968.746029273907</v>
      </c>
    </row>
    <row r="47" spans="1:32" x14ac:dyDescent="0.25">
      <c r="B47">
        <f t="shared" si="33"/>
        <v>7</v>
      </c>
      <c r="C47" s="92">
        <f t="shared" si="40"/>
        <v>2024</v>
      </c>
      <c r="D47" s="162">
        <f t="shared" si="41"/>
        <v>7660.4217649811708</v>
      </c>
      <c r="E47" s="163">
        <f t="shared" si="23"/>
        <v>2404.7981569130038</v>
      </c>
      <c r="F47" s="163">
        <f t="shared" si="34"/>
        <v>8236.9836509052802</v>
      </c>
      <c r="G47" s="164">
        <f t="shared" si="42"/>
        <v>17598.017387187869</v>
      </c>
      <c r="H47" s="164">
        <f t="shared" si="25"/>
        <v>5524.4581925622479</v>
      </c>
      <c r="I47" s="164">
        <f t="shared" si="35"/>
        <v>20493.204221836153</v>
      </c>
      <c r="J47" s="165">
        <f t="shared" si="43"/>
        <v>17598.017387187869</v>
      </c>
      <c r="K47" s="165">
        <f t="shared" si="26"/>
        <v>5524.4581925622479</v>
      </c>
      <c r="L47" s="165">
        <f t="shared" si="36"/>
        <v>20493.204221836153</v>
      </c>
      <c r="M47" s="166">
        <f t="shared" si="44"/>
        <v>17598.017387187869</v>
      </c>
      <c r="N47" s="166">
        <f t="shared" si="27"/>
        <v>5395.1289058976017</v>
      </c>
      <c r="O47" s="166">
        <f t="shared" si="45"/>
        <v>20140.147115134241</v>
      </c>
      <c r="P47" s="166">
        <f t="shared" si="46"/>
        <v>338.01293950436741</v>
      </c>
      <c r="Q47" s="166">
        <f t="shared" si="28"/>
        <v>150.50385717981209</v>
      </c>
      <c r="R47" s="166">
        <f t="shared" si="37"/>
        <v>1057.2667426132039</v>
      </c>
      <c r="S47" s="168">
        <f t="shared" si="47"/>
        <v>17598.017387187869</v>
      </c>
      <c r="T47" s="168">
        <f t="shared" si="48"/>
        <v>5524.4581925622479</v>
      </c>
      <c r="U47" s="168">
        <f t="shared" si="49"/>
        <v>20493.204221836153</v>
      </c>
      <c r="V47" s="170">
        <f t="shared" si="29"/>
        <v>17598.017387187869</v>
      </c>
      <c r="W47" s="168">
        <f t="shared" si="30"/>
        <v>5524.4581925622479</v>
      </c>
      <c r="X47" s="170">
        <f t="shared" si="38"/>
        <v>20493.204221836153</v>
      </c>
      <c r="Y47" s="172">
        <f t="shared" si="31"/>
        <v>17598.017387187869</v>
      </c>
      <c r="Z47" s="172">
        <f t="shared" si="32"/>
        <v>5524.4581925622479</v>
      </c>
      <c r="AA47" s="166">
        <f t="shared" si="39"/>
        <v>20493.204221836153</v>
      </c>
    </row>
    <row r="48" spans="1:32" x14ac:dyDescent="0.25">
      <c r="B48">
        <f t="shared" si="33"/>
        <v>8</v>
      </c>
      <c r="C48" s="92">
        <f t="shared" si="40"/>
        <v>2025</v>
      </c>
      <c r="D48" s="162">
        <f t="shared" si="41"/>
        <v>10288.552286495726</v>
      </c>
      <c r="E48" s="163">
        <f t="shared" si="23"/>
        <v>2737.147557744609</v>
      </c>
      <c r="F48" s="163">
        <f t="shared" si="34"/>
        <v>10974.131208649889</v>
      </c>
      <c r="G48" s="164">
        <f t="shared" si="42"/>
        <v>22698.661918244579</v>
      </c>
      <c r="H48" s="164">
        <f t="shared" si="25"/>
        <v>6038.7103358693248</v>
      </c>
      <c r="I48" s="164">
        <f t="shared" si="35"/>
        <v>26531.914557705477</v>
      </c>
      <c r="J48" s="165">
        <f t="shared" si="43"/>
        <v>22698.661918244579</v>
      </c>
      <c r="K48" s="165">
        <f t="shared" si="26"/>
        <v>6038.7103358693248</v>
      </c>
      <c r="L48" s="165">
        <f t="shared" si="36"/>
        <v>26531.914557705477</v>
      </c>
      <c r="M48" s="166">
        <f t="shared" si="44"/>
        <v>22698.661918244579</v>
      </c>
      <c r="N48" s="166">
        <f t="shared" si="27"/>
        <v>5877.4187928510255</v>
      </c>
      <c r="O48" s="166">
        <f t="shared" si="45"/>
        <v>26017.565907985267</v>
      </c>
      <c r="P48" s="166">
        <f t="shared" si="46"/>
        <v>354.12546353857914</v>
      </c>
      <c r="Q48" s="166">
        <f t="shared" si="28"/>
        <v>140.4667402341783</v>
      </c>
      <c r="R48" s="166">
        <f t="shared" si="37"/>
        <v>1197.7334828473822</v>
      </c>
      <c r="S48" s="168">
        <f t="shared" si="47"/>
        <v>22698.661918244579</v>
      </c>
      <c r="T48" s="168">
        <f t="shared" si="48"/>
        <v>6038.7103358693248</v>
      </c>
      <c r="U48" s="168">
        <f t="shared" si="49"/>
        <v>26531.914557705477</v>
      </c>
      <c r="V48" s="170">
        <f t="shared" si="29"/>
        <v>22698.661918244579</v>
      </c>
      <c r="W48" s="168">
        <f t="shared" si="30"/>
        <v>6038.7103358693248</v>
      </c>
      <c r="X48" s="170">
        <f t="shared" si="38"/>
        <v>26531.914557705477</v>
      </c>
      <c r="Y48" s="172">
        <f t="shared" si="31"/>
        <v>22698.661918244579</v>
      </c>
      <c r="Z48" s="172">
        <f t="shared" si="32"/>
        <v>6038.7103358693248</v>
      </c>
      <c r="AA48" s="166">
        <f t="shared" si="39"/>
        <v>26531.914557705477</v>
      </c>
    </row>
    <row r="49" spans="2:28" x14ac:dyDescent="0.25">
      <c r="B49">
        <f t="shared" si="33"/>
        <v>9</v>
      </c>
      <c r="C49" s="92">
        <f t="shared" si="40"/>
        <v>2026</v>
      </c>
      <c r="D49" s="162">
        <f t="shared" si="41"/>
        <v>13210.727921408183</v>
      </c>
      <c r="E49" s="163">
        <f t="shared" si="23"/>
        <v>2978.4388116565606</v>
      </c>
      <c r="F49" s="163">
        <f t="shared" si="34"/>
        <v>13952.57002030645</v>
      </c>
      <c r="G49" s="164">
        <f t="shared" si="42"/>
        <v>27900.463786673128</v>
      </c>
      <c r="H49" s="164">
        <f t="shared" si="25"/>
        <v>6290.3289432508182</v>
      </c>
      <c r="I49" s="164">
        <f t="shared" si="35"/>
        <v>32822.243500956298</v>
      </c>
      <c r="J49" s="165">
        <f t="shared" si="43"/>
        <v>27900.463786673128</v>
      </c>
      <c r="K49" s="165">
        <f t="shared" si="26"/>
        <v>6290.3289432508182</v>
      </c>
      <c r="L49" s="165">
        <f t="shared" si="36"/>
        <v>32822.243500956298</v>
      </c>
      <c r="M49" s="166">
        <f t="shared" si="44"/>
        <v>27900.463786673128</v>
      </c>
      <c r="N49" s="166">
        <f t="shared" si="27"/>
        <v>6101.6332650570757</v>
      </c>
      <c r="O49" s="166">
        <f t="shared" si="45"/>
        <v>32119.199173042343</v>
      </c>
      <c r="P49" s="166">
        <f t="shared" si="46"/>
        <v>360.82599041607227</v>
      </c>
      <c r="Q49" s="166">
        <f t="shared" si="28"/>
        <v>127.50176709867688</v>
      </c>
      <c r="R49" s="166">
        <f t="shared" si="37"/>
        <v>1325.2352499460592</v>
      </c>
      <c r="S49" s="168">
        <f t="shared" si="47"/>
        <v>27900.463786673128</v>
      </c>
      <c r="T49" s="168">
        <f t="shared" si="48"/>
        <v>6290.3289432508182</v>
      </c>
      <c r="U49" s="168">
        <f t="shared" si="49"/>
        <v>32822.243500956298</v>
      </c>
      <c r="V49" s="170">
        <f t="shared" si="29"/>
        <v>27900.463786673128</v>
      </c>
      <c r="W49" s="168">
        <f t="shared" si="30"/>
        <v>6290.3289432508182</v>
      </c>
      <c r="X49" s="170">
        <f t="shared" si="38"/>
        <v>32822.243500956298</v>
      </c>
      <c r="Y49" s="172">
        <f t="shared" si="31"/>
        <v>27900.463786673128</v>
      </c>
      <c r="Z49" s="172">
        <f t="shared" si="32"/>
        <v>6290.3289432508182</v>
      </c>
      <c r="AA49" s="166">
        <f t="shared" si="39"/>
        <v>32822.243500956298</v>
      </c>
    </row>
    <row r="50" spans="2:28" x14ac:dyDescent="0.25">
      <c r="B50">
        <f t="shared" si="33"/>
        <v>10</v>
      </c>
      <c r="C50" s="92">
        <f>C28</f>
        <v>2027</v>
      </c>
      <c r="D50" s="162">
        <f>U28</f>
        <v>16293.825929133778</v>
      </c>
      <c r="E50" s="163">
        <f>D50/((1+$E$8)^B50)</f>
        <v>3113.1711651330343</v>
      </c>
      <c r="F50" s="163">
        <f t="shared" si="34"/>
        <v>17065.741185439485</v>
      </c>
      <c r="G50" s="164">
        <f t="shared" si="42"/>
        <v>32880.002377957971</v>
      </c>
      <c r="H50" s="164">
        <f>G50/((1+$E$8)^B50)</f>
        <v>6282.2001264626333</v>
      </c>
      <c r="I50" s="164">
        <f t="shared" si="35"/>
        <v>39104.443627418928</v>
      </c>
      <c r="J50" s="165">
        <f>S28</f>
        <v>32880.002377957971</v>
      </c>
      <c r="K50" s="165">
        <f t="shared" si="26"/>
        <v>6282.2001264626333</v>
      </c>
      <c r="L50" s="165">
        <f t="shared" si="36"/>
        <v>39104.443627418928</v>
      </c>
      <c r="M50" s="166">
        <f t="shared" si="44"/>
        <v>32880.002377957971</v>
      </c>
      <c r="N50" s="166">
        <f t="shared" si="27"/>
        <v>6073.1613069538616</v>
      </c>
      <c r="O50" s="166">
        <f t="shared" si="45"/>
        <v>38192.360479996205</v>
      </c>
      <c r="P50" s="166">
        <f t="shared" si="46"/>
        <v>357.45027605317949</v>
      </c>
      <c r="Q50" s="166">
        <f t="shared" si="28"/>
        <v>112.52164477595717</v>
      </c>
      <c r="R50" s="166">
        <f t="shared" si="37"/>
        <v>1437.7568947220163</v>
      </c>
      <c r="S50" s="168">
        <f t="shared" si="47"/>
        <v>32880.002377957971</v>
      </c>
      <c r="T50" s="168">
        <f t="shared" si="48"/>
        <v>6282.2001264626333</v>
      </c>
      <c r="U50" s="168">
        <f t="shared" si="49"/>
        <v>39104.443627418928</v>
      </c>
      <c r="V50" s="170">
        <f t="shared" si="29"/>
        <v>32880.002377957971</v>
      </c>
      <c r="W50" s="168">
        <f t="shared" si="30"/>
        <v>6282.2001264626333</v>
      </c>
      <c r="X50" s="170">
        <f t="shared" si="38"/>
        <v>39104.443627418928</v>
      </c>
      <c r="Y50" s="172">
        <f t="shared" si="31"/>
        <v>32880.002377957971</v>
      </c>
      <c r="Z50" s="172">
        <f t="shared" si="32"/>
        <v>6282.2001264626333</v>
      </c>
      <c r="AA50" s="166">
        <f t="shared" si="39"/>
        <v>39104.443627418928</v>
      </c>
    </row>
    <row r="51" spans="2:28" x14ac:dyDescent="0.25">
      <c r="C51" s="92">
        <f>C29</f>
        <v>2028</v>
      </c>
      <c r="D51" s="162">
        <f>U29</f>
        <v>17693.183593589147</v>
      </c>
      <c r="E51" s="162"/>
      <c r="F51" s="94"/>
      <c r="G51" s="164">
        <f>S29</f>
        <v>28765.634740134195</v>
      </c>
      <c r="H51" s="164"/>
      <c r="I51" s="164"/>
      <c r="J51" s="165">
        <f>S29</f>
        <v>28765.634740134195</v>
      </c>
      <c r="K51" s="165"/>
      <c r="L51" s="165"/>
      <c r="M51" s="166">
        <f>S29</f>
        <v>28765.634740134195</v>
      </c>
      <c r="N51" s="167"/>
      <c r="O51" s="167"/>
      <c r="P51" s="166">
        <f>N29*$E$7</f>
        <v>344.1643036943035</v>
      </c>
      <c r="Q51" s="167"/>
      <c r="R51" s="167"/>
      <c r="S51" s="168">
        <f>S29</f>
        <v>28765.634740134195</v>
      </c>
      <c r="T51" s="169"/>
      <c r="U51" s="169"/>
      <c r="V51" s="170">
        <f>S29</f>
        <v>28765.634740134195</v>
      </c>
      <c r="W51" s="171"/>
      <c r="X51" s="171"/>
      <c r="Y51" s="172">
        <f>S29</f>
        <v>28765.634740134195</v>
      </c>
      <c r="Z51" s="173"/>
      <c r="AA51" s="173"/>
    </row>
    <row r="52" spans="2:28" x14ac:dyDescent="0.25">
      <c r="C52" s="92"/>
      <c r="D52" s="93"/>
      <c r="E52" s="93"/>
      <c r="F52" s="10"/>
      <c r="G52" s="107"/>
      <c r="H52" s="107"/>
      <c r="I52" s="107"/>
      <c r="J52" s="108"/>
      <c r="K52" s="108"/>
      <c r="L52" s="108"/>
      <c r="M52" s="109"/>
      <c r="N52" s="109"/>
      <c r="O52" s="109"/>
      <c r="P52" s="109"/>
      <c r="Q52" s="109"/>
      <c r="R52" s="109"/>
      <c r="S52" s="111"/>
      <c r="T52" s="111"/>
      <c r="U52" s="111"/>
      <c r="V52" s="112"/>
      <c r="W52" s="112"/>
      <c r="X52" s="112"/>
      <c r="Y52" s="113"/>
      <c r="Z52" s="113"/>
      <c r="AA52" s="113"/>
    </row>
    <row r="53" spans="2:28" ht="30" customHeight="1" x14ac:dyDescent="0.35">
      <c r="C53" s="92"/>
      <c r="D53" s="10"/>
      <c r="E53" s="114" t="s">
        <v>157</v>
      </c>
      <c r="F53" s="174">
        <f>F50</f>
        <v>17065.741185439485</v>
      </c>
      <c r="G53" s="115"/>
      <c r="H53" s="116" t="s">
        <v>136</v>
      </c>
      <c r="I53" s="175">
        <f>I50</f>
        <v>39104.443627418928</v>
      </c>
      <c r="J53" s="117"/>
      <c r="K53" s="118" t="s">
        <v>151</v>
      </c>
      <c r="L53" s="176">
        <f>L50</f>
        <v>39104.443627418928</v>
      </c>
      <c r="M53" s="119"/>
      <c r="N53" s="120" t="s">
        <v>140</v>
      </c>
      <c r="O53" s="177">
        <f>O50</f>
        <v>38192.360479996205</v>
      </c>
      <c r="P53" s="119"/>
      <c r="Q53" s="120" t="s">
        <v>152</v>
      </c>
      <c r="R53" s="177">
        <f>R50</f>
        <v>1437.7568947220163</v>
      </c>
      <c r="S53" s="201" t="s">
        <v>247</v>
      </c>
      <c r="T53" s="122" t="s">
        <v>153</v>
      </c>
      <c r="U53" s="178">
        <f>U50</f>
        <v>39104.443627418928</v>
      </c>
      <c r="V53" s="148" t="s">
        <v>248</v>
      </c>
      <c r="W53" s="123" t="s">
        <v>155</v>
      </c>
      <c r="X53" s="179">
        <f>X50</f>
        <v>39104.443627418928</v>
      </c>
      <c r="Y53" s="149" t="s">
        <v>154</v>
      </c>
      <c r="Z53" s="124" t="s">
        <v>156</v>
      </c>
      <c r="AA53" s="180">
        <f>AA50</f>
        <v>39104.443627418928</v>
      </c>
    </row>
    <row r="54" spans="2:28" ht="18" x14ac:dyDescent="0.35">
      <c r="D54" s="10"/>
      <c r="E54" s="114" t="s">
        <v>165</v>
      </c>
      <c r="F54" s="174">
        <f>(O28*(T29-E8))/(E8-E4)+O28</f>
        <v>209278.31454461702</v>
      </c>
      <c r="G54" s="115"/>
      <c r="H54" s="116" t="s">
        <v>158</v>
      </c>
      <c r="I54" s="175">
        <f>(G51)/(E8-E4)</f>
        <v>221274.11338564765</v>
      </c>
      <c r="J54" s="117"/>
      <c r="K54" s="118" t="s">
        <v>159</v>
      </c>
      <c r="L54" s="176">
        <f>(P29*(1-(E4/T29)))/(E8-E4)</f>
        <v>219742.23027184789</v>
      </c>
      <c r="M54" s="119"/>
      <c r="N54" s="120" t="s">
        <v>160</v>
      </c>
      <c r="O54" s="177">
        <f>(M51)/(I7-E4)</f>
        <v>214668.91597115071</v>
      </c>
      <c r="P54" s="119"/>
      <c r="Q54" s="120" t="s">
        <v>161</v>
      </c>
      <c r="R54" s="177">
        <f>(P51)/(M7-E4)</f>
        <v>4745.1303418489388</v>
      </c>
      <c r="S54" s="110">
        <f>'Financial Stmt'!Q60</f>
        <v>5.9212444794377603</v>
      </c>
      <c r="T54" s="122" t="s">
        <v>162</v>
      </c>
      <c r="U54" s="178">
        <f>M29*'Financial Stmt'!Q60</f>
        <v>293806.14760976285</v>
      </c>
      <c r="V54" s="125">
        <f>S54*(1-V56)</f>
        <v>5.3291200314939848</v>
      </c>
      <c r="W54" s="123" t="s">
        <v>163</v>
      </c>
      <c r="X54" s="179">
        <f>V54*M29</f>
        <v>264425.53284878662</v>
      </c>
      <c r="Y54" s="126">
        <f>S54*(1+Y56)</f>
        <v>7.6976178232690886</v>
      </c>
      <c r="Z54" s="124" t="s">
        <v>164</v>
      </c>
      <c r="AA54" s="180">
        <f>Y54*M29</f>
        <v>381947.99189269176</v>
      </c>
    </row>
    <row r="55" spans="2:28" ht="18" x14ac:dyDescent="0.35">
      <c r="D55" s="10"/>
      <c r="E55" s="114" t="s">
        <v>173</v>
      </c>
      <c r="F55" s="174">
        <f>F54/((1+E8)^B50)</f>
        <v>39985.649605045182</v>
      </c>
      <c r="G55" s="115"/>
      <c r="H55" s="116" t="s">
        <v>166</v>
      </c>
      <c r="I55" s="175">
        <f>I54/((1+E8)^B50)</f>
        <v>42277.620515809547</v>
      </c>
      <c r="J55" s="117"/>
      <c r="K55" s="118" t="s">
        <v>167</v>
      </c>
      <c r="L55" s="176">
        <f>L54/((1+E8)^B50)</f>
        <v>41984.932085297442</v>
      </c>
      <c r="M55" s="119"/>
      <c r="N55" s="120" t="s">
        <v>168</v>
      </c>
      <c r="O55" s="177">
        <f>O54/((1+I7)^B50)</f>
        <v>39650.81690978547</v>
      </c>
      <c r="P55" s="119"/>
      <c r="Q55" s="120" t="s">
        <v>169</v>
      </c>
      <c r="R55" s="177">
        <f>R54/((1+M7)^B50)</f>
        <v>1493.7178861255302</v>
      </c>
      <c r="S55" s="121"/>
      <c r="T55" s="122" t="s">
        <v>170</v>
      </c>
      <c r="U55" s="178">
        <f>U54/((1+E8)^B28)</f>
        <v>56135.914968999532</v>
      </c>
      <c r="V55" s="202" t="s">
        <v>249</v>
      </c>
      <c r="W55" s="123" t="s">
        <v>171</v>
      </c>
      <c r="X55" s="179">
        <f>X54/((1+I7)^B28)</f>
        <v>48841.204334719499</v>
      </c>
      <c r="Y55" s="80" t="s">
        <v>250</v>
      </c>
      <c r="Z55" s="124" t="s">
        <v>172</v>
      </c>
      <c r="AA55" s="180">
        <f>AA54/((1+I7)^B28)</f>
        <v>70548.406261261494</v>
      </c>
    </row>
    <row r="56" spans="2:28" ht="18" x14ac:dyDescent="0.35">
      <c r="D56" s="10"/>
      <c r="E56" s="114" t="s">
        <v>181</v>
      </c>
      <c r="F56" s="174">
        <f>F53+F55</f>
        <v>57051.390790484671</v>
      </c>
      <c r="G56" s="115"/>
      <c r="H56" s="116" t="s">
        <v>174</v>
      </c>
      <c r="I56" s="175">
        <f>I53+I55</f>
        <v>81382.064143228476</v>
      </c>
      <c r="J56" s="117"/>
      <c r="K56" s="118" t="s">
        <v>175</v>
      </c>
      <c r="L56" s="176">
        <f>L55+L53</f>
        <v>81089.37571271637</v>
      </c>
      <c r="M56" s="119"/>
      <c r="N56" s="120" t="s">
        <v>176</v>
      </c>
      <c r="O56" s="177">
        <f>O53+O55</f>
        <v>77843.177389781675</v>
      </c>
      <c r="P56" s="119"/>
      <c r="Q56" s="120" t="s">
        <v>177</v>
      </c>
      <c r="R56" s="177">
        <f>R53+R55</f>
        <v>2931.4747808475468</v>
      </c>
      <c r="S56" s="121"/>
      <c r="T56" s="122" t="s">
        <v>178</v>
      </c>
      <c r="U56" s="178">
        <f>U53+U55</f>
        <v>95240.35859641846</v>
      </c>
      <c r="V56" s="203">
        <f>'VAL without adjust'!V56</f>
        <v>0.1</v>
      </c>
      <c r="W56" s="123" t="s">
        <v>179</v>
      </c>
      <c r="X56" s="179">
        <f>X53+X55</f>
        <v>87945.647962138435</v>
      </c>
      <c r="Y56" s="204">
        <f>'VAL without adjust'!Y56</f>
        <v>0.3</v>
      </c>
      <c r="Z56" s="124" t="s">
        <v>180</v>
      </c>
      <c r="AA56" s="180">
        <f>AA53+AA55</f>
        <v>109652.84988868042</v>
      </c>
    </row>
    <row r="57" spans="2:28" x14ac:dyDescent="0.25">
      <c r="D57" s="10"/>
      <c r="G57" s="151"/>
      <c r="H57" s="151"/>
      <c r="I57" s="151"/>
      <c r="J57" s="151"/>
      <c r="K57" s="151"/>
      <c r="L57" s="151"/>
      <c r="M57" s="119"/>
      <c r="N57" s="119"/>
      <c r="O57" s="119"/>
      <c r="P57" s="119"/>
      <c r="Q57" s="119"/>
      <c r="R57" s="119"/>
      <c r="S57" s="119"/>
      <c r="T57" s="151"/>
      <c r="U57" s="151"/>
      <c r="V57" s="151"/>
      <c r="W57" s="10"/>
      <c r="X57" s="10"/>
      <c r="Y57" s="10"/>
      <c r="Z57" s="10"/>
      <c r="AA57" s="10"/>
      <c r="AB57" s="10"/>
    </row>
    <row r="58" spans="2:28" x14ac:dyDescent="0.25">
      <c r="D58" s="10"/>
      <c r="E58" s="10"/>
      <c r="F58" s="151"/>
      <c r="G58" s="151"/>
      <c r="H58" s="151"/>
      <c r="I58" s="151"/>
      <c r="J58" s="151"/>
      <c r="K58" s="151"/>
      <c r="L58" s="151"/>
      <c r="M58" s="119"/>
      <c r="N58" s="119"/>
      <c r="O58" s="120" t="s">
        <v>182</v>
      </c>
      <c r="P58" s="177">
        <f>O56+R56</f>
        <v>80774.652170629226</v>
      </c>
      <c r="Q58" s="119"/>
      <c r="R58" s="119"/>
      <c r="S58" s="119"/>
      <c r="T58" s="151"/>
      <c r="U58" s="151"/>
      <c r="V58" s="151"/>
      <c r="W58" s="10"/>
      <c r="X58" s="10"/>
      <c r="Y58" s="10"/>
      <c r="Z58" s="10"/>
      <c r="AA58" s="10"/>
      <c r="AB58" s="10"/>
    </row>
  </sheetData>
  <mergeCells count="24">
    <mergeCell ref="AB16:AI16"/>
    <mergeCell ref="M37:R37"/>
    <mergeCell ref="C38:F38"/>
    <mergeCell ref="G38:I38"/>
    <mergeCell ref="J38:L38"/>
    <mergeCell ref="M38:O38"/>
    <mergeCell ref="P38:R38"/>
    <mergeCell ref="V38:X38"/>
    <mergeCell ref="Y38:AA38"/>
    <mergeCell ref="AB17:AI17"/>
    <mergeCell ref="B7:D7"/>
    <mergeCell ref="B1:AD1"/>
    <mergeCell ref="B4:D4"/>
    <mergeCell ref="Q4:R4"/>
    <mergeCell ref="B5:D5"/>
    <mergeCell ref="B6:D6"/>
    <mergeCell ref="AB18:AI18"/>
    <mergeCell ref="AB19:AI19"/>
    <mergeCell ref="S38:U38"/>
    <mergeCell ref="B8:D8"/>
    <mergeCell ref="B10:D10"/>
    <mergeCell ref="AB12:AI12"/>
    <mergeCell ref="AB13:AI14"/>
    <mergeCell ref="C16:D16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2"/>
  <sheetViews>
    <sheetView topLeftCell="A51" zoomScaleNormal="100" workbookViewId="0">
      <selection activeCell="A74" sqref="A74"/>
    </sheetView>
  </sheetViews>
  <sheetFormatPr defaultRowHeight="15" x14ac:dyDescent="0.25"/>
  <cols>
    <col min="1" max="1" width="5.7109375" customWidth="1"/>
    <col min="2" max="2" width="7.7109375" customWidth="1"/>
    <col min="3" max="3" width="12.7109375" customWidth="1"/>
    <col min="4" max="4" width="11.5703125" bestFit="1" customWidth="1"/>
    <col min="5" max="5" width="12" customWidth="1"/>
    <col min="6" max="6" width="12.28515625" customWidth="1"/>
    <col min="7" max="7" width="11.5703125" bestFit="1" customWidth="1"/>
    <col min="8" max="8" width="12.42578125" customWidth="1"/>
    <col min="9" max="9" width="11.7109375" bestFit="1" customWidth="1"/>
    <col min="10" max="10" width="11.5703125" bestFit="1" customWidth="1"/>
    <col min="11" max="11" width="12.140625" customWidth="1"/>
    <col min="12" max="12" width="11.7109375" bestFit="1" customWidth="1"/>
    <col min="13" max="13" width="11.5703125" bestFit="1" customWidth="1"/>
    <col min="14" max="14" width="12.5703125" customWidth="1"/>
    <col min="15" max="15" width="11.7109375" bestFit="1" customWidth="1"/>
    <col min="16" max="16" width="11.5703125" bestFit="1" customWidth="1"/>
    <col min="17" max="17" width="11.7109375" customWidth="1"/>
    <col min="18" max="18" width="10.7109375" bestFit="1" customWidth="1"/>
    <col min="19" max="19" width="11.5703125" bestFit="1" customWidth="1"/>
    <col min="20" max="20" width="13.140625" customWidth="1"/>
    <col min="21" max="21" width="11.7109375" bestFit="1" customWidth="1"/>
    <col min="22" max="22" width="11.5703125" bestFit="1" customWidth="1"/>
    <col min="23" max="23" width="13" customWidth="1"/>
    <col min="24" max="24" width="11.7109375" customWidth="1"/>
    <col min="25" max="25" width="11.5703125" bestFit="1" customWidth="1"/>
    <col min="26" max="26" width="11.7109375" customWidth="1"/>
    <col min="27" max="27" width="11.7109375" bestFit="1" customWidth="1"/>
    <col min="28" max="28" width="9.28515625" bestFit="1" customWidth="1"/>
    <col min="29" max="29" width="9.5703125" bestFit="1" customWidth="1"/>
    <col min="30" max="31" width="9.28515625" bestFit="1" customWidth="1"/>
    <col min="32" max="32" width="9.5703125" bestFit="1" customWidth="1"/>
  </cols>
  <sheetData>
    <row r="1" spans="1:35" x14ac:dyDescent="0.25">
      <c r="B1" s="285" t="str">
        <f>'Financial Stmt'!B2:L2</f>
        <v>Leshkal Industries, Inc.</v>
      </c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  <c r="N1" s="285"/>
      <c r="O1" s="285"/>
      <c r="P1" s="285"/>
      <c r="Q1" s="285"/>
      <c r="R1" s="285"/>
      <c r="S1" s="285"/>
      <c r="T1" s="285"/>
      <c r="U1" s="285"/>
      <c r="V1" s="285"/>
      <c r="W1" s="285"/>
      <c r="X1" s="285"/>
      <c r="Y1" s="285"/>
      <c r="Z1" s="285"/>
      <c r="AA1" s="285"/>
      <c r="AB1" s="285"/>
      <c r="AC1" s="285"/>
      <c r="AD1" s="285"/>
    </row>
    <row r="2" spans="1:35" x14ac:dyDescent="0.25"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194"/>
      <c r="AA2" s="194"/>
      <c r="AB2" s="194"/>
      <c r="AC2" s="194"/>
      <c r="AD2" s="194"/>
    </row>
    <row r="3" spans="1:35" x14ac:dyDescent="0.25">
      <c r="J3" s="2">
        <f>'Financial Stmt'!D6</f>
        <v>2016</v>
      </c>
      <c r="K3" s="2">
        <f>'Financial Stmt'!E6</f>
        <v>2017</v>
      </c>
    </row>
    <row r="4" spans="1:35" x14ac:dyDescent="0.25">
      <c r="B4" s="292" t="s">
        <v>114</v>
      </c>
      <c r="C4" s="293"/>
      <c r="D4" s="293"/>
      <c r="E4" s="11">
        <f>'Financial Stmt'!Q56</f>
        <v>0.05</v>
      </c>
      <c r="H4" s="186"/>
      <c r="I4" s="186" t="s">
        <v>115</v>
      </c>
      <c r="J4">
        <f>'Financial Stmt'!K21</f>
        <v>7620</v>
      </c>
      <c r="K4">
        <f>'Financial Stmt'!L21</f>
        <v>6530</v>
      </c>
      <c r="Q4" s="287"/>
      <c r="R4" s="287"/>
      <c r="U4" s="194"/>
      <c r="V4" s="48"/>
      <c r="W4" s="194"/>
      <c r="Z4" s="194"/>
      <c r="AA4" s="194"/>
      <c r="AB4" s="194"/>
    </row>
    <row r="5" spans="1:35" x14ac:dyDescent="0.25">
      <c r="B5" s="293" t="str">
        <f>'[1]Fin Stmt'!N38</f>
        <v>Taxes Paid/Taxable Income</v>
      </c>
      <c r="C5" s="293"/>
      <c r="D5" s="293"/>
      <c r="E5" s="70">
        <f>'Financial Stmt'!Q52</f>
        <v>0.23551637279596976</v>
      </c>
      <c r="Q5" s="187"/>
      <c r="R5" s="188"/>
      <c r="U5" s="48"/>
      <c r="V5" s="48"/>
      <c r="W5" s="48"/>
      <c r="Z5" s="63"/>
      <c r="AC5" s="1"/>
    </row>
    <row r="6" spans="1:35" x14ac:dyDescent="0.25">
      <c r="B6" s="293" t="s">
        <v>116</v>
      </c>
      <c r="C6" s="293"/>
      <c r="D6" s="293"/>
      <c r="E6" s="11">
        <f>'Financial Stmt'!Q50</f>
        <v>0.34</v>
      </c>
      <c r="Q6" s="189"/>
      <c r="R6" s="188"/>
      <c r="U6" s="48"/>
      <c r="V6" s="48"/>
      <c r="W6" s="194"/>
      <c r="Z6" s="48"/>
      <c r="AB6" s="73"/>
      <c r="AC6" s="104"/>
    </row>
    <row r="7" spans="1:35" ht="18" x14ac:dyDescent="0.35">
      <c r="B7" s="293" t="s">
        <v>117</v>
      </c>
      <c r="C7" s="293"/>
      <c r="D7" s="293"/>
      <c r="E7" s="70">
        <f>'Financial Stmt'!Q51</f>
        <v>0.34</v>
      </c>
      <c r="F7" s="197"/>
      <c r="G7" s="197"/>
      <c r="H7" s="195" t="s">
        <v>284</v>
      </c>
      <c r="I7" s="11">
        <v>0.1769</v>
      </c>
      <c r="J7" s="195" t="s">
        <v>283</v>
      </c>
      <c r="K7" s="11">
        <f>'Financial Stmt'!L58</f>
        <v>0.08</v>
      </c>
      <c r="L7" s="195" t="s">
        <v>118</v>
      </c>
      <c r="M7" s="131">
        <v>0.12253</v>
      </c>
      <c r="O7" s="8"/>
      <c r="Q7" s="189"/>
      <c r="R7" s="188"/>
      <c r="T7" s="92"/>
      <c r="U7" s="48"/>
      <c r="V7" s="48"/>
      <c r="W7" s="48"/>
      <c r="Z7" s="48"/>
      <c r="AA7" s="48"/>
      <c r="AB7" s="48"/>
      <c r="AC7" s="1"/>
    </row>
    <row r="8" spans="1:35" x14ac:dyDescent="0.25">
      <c r="B8" s="293" t="s">
        <v>286</v>
      </c>
      <c r="C8" s="293"/>
      <c r="D8" s="293"/>
      <c r="E8" s="129">
        <v>0.18</v>
      </c>
      <c r="H8" s="195"/>
      <c r="I8" s="9"/>
      <c r="L8" s="8"/>
      <c r="O8" s="8"/>
      <c r="Q8" s="189"/>
      <c r="R8" s="214"/>
      <c r="U8" s="194"/>
      <c r="V8" s="194"/>
      <c r="W8" s="194"/>
      <c r="Z8" s="194"/>
      <c r="AA8" s="194"/>
      <c r="AB8" s="194"/>
    </row>
    <row r="9" spans="1:35" x14ac:dyDescent="0.25">
      <c r="B9" s="195"/>
      <c r="C9" s="195"/>
      <c r="D9" s="195"/>
      <c r="Q9" s="189"/>
      <c r="R9" s="215"/>
      <c r="S9" s="63"/>
      <c r="U9" s="74"/>
      <c r="V9" s="63"/>
      <c r="W9" s="63"/>
      <c r="Z9" s="63"/>
      <c r="AA9" s="63"/>
      <c r="AB9" s="63"/>
    </row>
    <row r="10" spans="1:35" ht="15.75" customHeight="1" x14ac:dyDescent="0.25">
      <c r="B10" s="294" t="s">
        <v>205</v>
      </c>
      <c r="C10" s="294"/>
      <c r="D10" s="294"/>
      <c r="E10" s="11">
        <f>D14/O14</f>
        <v>0.2007377805102982</v>
      </c>
      <c r="H10" s="29"/>
      <c r="I10" s="29" t="s">
        <v>206</v>
      </c>
      <c r="J10" s="11">
        <f>O14/E14</f>
        <v>1.3111648528819024</v>
      </c>
      <c r="K10" s="9"/>
      <c r="Q10" s="187"/>
    </row>
    <row r="11" spans="1:35" ht="17.25" x14ac:dyDescent="0.25">
      <c r="D11" s="195" t="s">
        <v>212</v>
      </c>
      <c r="E11" s="11">
        <v>0.01</v>
      </c>
      <c r="I11" s="195" t="s">
        <v>292</v>
      </c>
      <c r="J11" s="11">
        <v>0.01</v>
      </c>
      <c r="Q11" s="187"/>
      <c r="R11" s="191"/>
      <c r="Z11" s="192"/>
      <c r="AA11" s="192"/>
    </row>
    <row r="12" spans="1:35" x14ac:dyDescent="0.25">
      <c r="X12" s="71"/>
      <c r="Y12" s="127"/>
      <c r="Z12" s="192"/>
      <c r="AA12" s="192"/>
      <c r="AB12" s="290" t="s">
        <v>200</v>
      </c>
      <c r="AC12" s="290"/>
      <c r="AD12" s="290"/>
      <c r="AE12" s="290"/>
      <c r="AF12" s="290"/>
      <c r="AG12" s="290"/>
      <c r="AH12" s="290"/>
      <c r="AI12" s="290"/>
    </row>
    <row r="13" spans="1:35" ht="30" customHeight="1" x14ac:dyDescent="0.25">
      <c r="A13" s="213" t="s">
        <v>202</v>
      </c>
      <c r="B13" s="213" t="s">
        <v>203</v>
      </c>
      <c r="C13" s="213" t="s">
        <v>120</v>
      </c>
      <c r="D13" s="213" t="s">
        <v>121</v>
      </c>
      <c r="E13" s="213" t="s">
        <v>122</v>
      </c>
      <c r="F13" s="213" t="str">
        <f>'Financial Stmt'!O17</f>
        <v>Production Labor</v>
      </c>
      <c r="G13" s="213" t="str">
        <f>'Financial Stmt'!O18</f>
        <v>Materials</v>
      </c>
      <c r="H13" s="213" t="str">
        <f>'Financial Stmt'!O19</f>
        <v>Sales &amp; Mkt</v>
      </c>
      <c r="I13" s="213" t="str">
        <f>'Financial Stmt'!O20</f>
        <v>Admin</v>
      </c>
      <c r="J13" s="213" t="str">
        <f>'Financial Stmt'!O21</f>
        <v>Facilities</v>
      </c>
      <c r="K13" s="213" t="str">
        <f>'Financial Stmt'!O22</f>
        <v>Leases</v>
      </c>
      <c r="L13" s="213" t="s">
        <v>123</v>
      </c>
      <c r="M13" s="213" t="s">
        <v>124</v>
      </c>
      <c r="N13" s="213" t="s">
        <v>276</v>
      </c>
      <c r="O13" s="213" t="s">
        <v>268</v>
      </c>
      <c r="P13" s="213" t="s">
        <v>125</v>
      </c>
      <c r="Q13" s="76" t="s">
        <v>271</v>
      </c>
      <c r="R13" s="77" t="s">
        <v>272</v>
      </c>
      <c r="S13" s="213" t="s">
        <v>126</v>
      </c>
      <c r="T13" s="213" t="s">
        <v>127</v>
      </c>
      <c r="U13" s="213" t="s">
        <v>128</v>
      </c>
      <c r="V13" s="213"/>
      <c r="W13" s="213" t="s">
        <v>208</v>
      </c>
      <c r="X13" s="146" t="s">
        <v>207</v>
      </c>
      <c r="Y13" s="213" t="s">
        <v>209</v>
      </c>
      <c r="AB13" s="291" t="s">
        <v>211</v>
      </c>
      <c r="AC13" s="291"/>
      <c r="AD13" s="291"/>
      <c r="AE13" s="291"/>
      <c r="AF13" s="291"/>
      <c r="AG13" s="291"/>
      <c r="AH13" s="291"/>
      <c r="AI13" s="291"/>
    </row>
    <row r="14" spans="1:35" ht="15" customHeight="1" x14ac:dyDescent="0.25">
      <c r="B14">
        <v>0</v>
      </c>
      <c r="C14" s="83">
        <f>K3</f>
        <v>2017</v>
      </c>
      <c r="D14" s="105">
        <f>K4</f>
        <v>6530</v>
      </c>
      <c r="E14" s="105">
        <f>'Financial Stmt'!Q14</f>
        <v>24810</v>
      </c>
      <c r="F14" s="105">
        <f>'Financial Stmt'!Q17</f>
        <v>5440</v>
      </c>
      <c r="G14" s="105">
        <f>'Financial Stmt'!Q18</f>
        <v>2180</v>
      </c>
      <c r="H14" s="105">
        <f>'Financial Stmt'!Q19</f>
        <v>2700</v>
      </c>
      <c r="I14" s="105">
        <f>'Financial Stmt'!Q20</f>
        <v>2170</v>
      </c>
      <c r="J14" s="105">
        <f>'Financial Stmt'!Q21</f>
        <v>450</v>
      </c>
      <c r="K14" s="105">
        <f>'Financial Stmt'!Q22</f>
        <v>500</v>
      </c>
      <c r="L14" s="105">
        <f>'Financial Stmt'!Q23</f>
        <v>2760</v>
      </c>
      <c r="M14" s="59">
        <f>'Financial Stmt'!Q26</f>
        <v>8610</v>
      </c>
      <c r="N14" s="105">
        <f>'Financial Stmt'!Q31+'Financial Stmt'!Q32</f>
        <v>970</v>
      </c>
      <c r="O14" s="105">
        <f>'Financial Stmt'!E21+'Financial Stmt'!E12-'Financial Stmt'!L13</f>
        <v>32530</v>
      </c>
      <c r="P14" s="105">
        <f>'Financial Stmt'!L73</f>
        <v>5682.5999999999995</v>
      </c>
      <c r="Q14" s="105">
        <f>'Financial Stmt'!E46</f>
        <v>3960</v>
      </c>
      <c r="R14" s="105">
        <f>'Financial Stmt'!E21</f>
        <v>28570</v>
      </c>
      <c r="S14" s="105">
        <f>P14+L14-(R14-'Financial Stmt'!D21+'NPV MIRR &amp; IRR with adjust'!L14)-('NPV MIRR &amp; IRR with adjust'!Q14-('Financial Stmt'!D12-'Financial Stmt'!K13))</f>
        <v>1912.5999999999985</v>
      </c>
      <c r="T14" s="130">
        <f>P14/O14</f>
        <v>0.17468798032585303</v>
      </c>
      <c r="U14" s="59">
        <f>O14*(T14-$E$8)</f>
        <v>-172.80000000000067</v>
      </c>
      <c r="W14" s="11">
        <f>(E14-'Financial Stmt'!P14)/'Financial Stmt'!P14</f>
        <v>0.11656165616561656</v>
      </c>
      <c r="X14" s="11">
        <f>E14/O14</f>
        <v>0.76268060252075009</v>
      </c>
      <c r="Y14" s="102">
        <f>D14/O14</f>
        <v>0.2007377805102982</v>
      </c>
      <c r="AB14" s="291"/>
      <c r="AC14" s="291"/>
      <c r="AD14" s="291"/>
      <c r="AE14" s="291"/>
      <c r="AF14" s="291"/>
      <c r="AG14" s="291"/>
      <c r="AH14" s="291"/>
      <c r="AI14" s="291"/>
    </row>
    <row r="15" spans="1:35" x14ac:dyDescent="0.25">
      <c r="C15" s="106"/>
      <c r="D15" s="106"/>
      <c r="E15" s="106"/>
      <c r="F15" s="106"/>
      <c r="G15" s="106"/>
      <c r="H15" s="106"/>
      <c r="I15" s="106"/>
      <c r="J15" s="106"/>
      <c r="K15" s="106"/>
      <c r="L15" s="106"/>
      <c r="M15" s="59"/>
      <c r="N15" s="106"/>
      <c r="O15" s="106"/>
      <c r="P15" s="106"/>
      <c r="Q15" s="106"/>
      <c r="R15" s="106"/>
      <c r="S15" s="106"/>
      <c r="T15" s="81"/>
      <c r="U15" s="59"/>
      <c r="Y15" s="80"/>
      <c r="AB15" t="s">
        <v>201</v>
      </c>
      <c r="AC15" s="193"/>
      <c r="AD15" s="193"/>
      <c r="AE15" s="193"/>
      <c r="AF15" s="193"/>
      <c r="AG15" s="193"/>
      <c r="AH15" s="128"/>
      <c r="AI15" s="128"/>
    </row>
    <row r="16" spans="1:35" ht="15" customHeight="1" x14ac:dyDescent="0.25">
      <c r="C16" s="302" t="s">
        <v>267</v>
      </c>
      <c r="D16" s="302"/>
      <c r="E16" s="81">
        <f>AVERAGE('Rev Forecast'!M13,'Rev Forecast'!M23,'Rev Forecast'!M33,'Rev Forecast'!M43,'Rev Forecast'!M53)</f>
        <v>0.19101929603001477</v>
      </c>
      <c r="F16" s="81">
        <f t="shared" ref="F16:L16" si="0">F14/$E$14</f>
        <v>0.2192664248286981</v>
      </c>
      <c r="G16" s="81">
        <f t="shared" si="0"/>
        <v>8.7867795243853283E-2</v>
      </c>
      <c r="H16" s="81">
        <f t="shared" si="0"/>
        <v>0.10882708585247884</v>
      </c>
      <c r="I16" s="81">
        <f t="shared" si="0"/>
        <v>8.746473196291818E-2</v>
      </c>
      <c r="J16" s="81">
        <f t="shared" si="0"/>
        <v>1.8137847642079808E-2</v>
      </c>
      <c r="K16" s="81">
        <f t="shared" si="0"/>
        <v>2.015316404675534E-2</v>
      </c>
      <c r="L16" s="81">
        <f t="shared" si="0"/>
        <v>0.11124546553808948</v>
      </c>
      <c r="M16" s="72"/>
      <c r="N16" s="81">
        <f>N14/$J$4</f>
        <v>0.12729658792650919</v>
      </c>
      <c r="O16" s="106"/>
      <c r="P16" s="106"/>
      <c r="Q16" s="106"/>
      <c r="R16" s="106"/>
      <c r="S16" s="106"/>
      <c r="T16" s="81"/>
      <c r="U16" s="59"/>
      <c r="Y16" s="80"/>
      <c r="AB16" s="291" t="s">
        <v>213</v>
      </c>
      <c r="AC16" s="291"/>
      <c r="AD16" s="291"/>
      <c r="AE16" s="291"/>
      <c r="AF16" s="291"/>
      <c r="AG16" s="291"/>
      <c r="AH16" s="291"/>
      <c r="AI16" s="291"/>
    </row>
    <row r="17" spans="1:35" ht="17.25" x14ac:dyDescent="0.25">
      <c r="C17" s="196"/>
      <c r="D17" s="196" t="s">
        <v>265</v>
      </c>
      <c r="E17" s="103">
        <v>0.02</v>
      </c>
      <c r="F17" s="81">
        <v>0.01</v>
      </c>
      <c r="G17" s="81">
        <v>0.01</v>
      </c>
      <c r="H17" s="81">
        <v>0.03</v>
      </c>
      <c r="I17" s="81">
        <v>0.04</v>
      </c>
      <c r="J17" s="81">
        <v>0.02</v>
      </c>
      <c r="K17" s="81">
        <v>0.01</v>
      </c>
      <c r="L17" s="81">
        <v>0</v>
      </c>
      <c r="M17" s="72"/>
      <c r="N17" s="81">
        <v>-5.7299999999999997E-2</v>
      </c>
      <c r="O17" s="106"/>
      <c r="P17" s="106"/>
      <c r="Q17" s="106"/>
      <c r="R17" s="106"/>
      <c r="S17" s="106"/>
      <c r="T17" s="81"/>
      <c r="U17" s="59"/>
      <c r="Y17" s="80"/>
      <c r="AB17" s="295" t="s">
        <v>210</v>
      </c>
      <c r="AC17" s="295"/>
      <c r="AD17" s="295"/>
      <c r="AE17" s="295"/>
      <c r="AF17" s="295"/>
      <c r="AG17" s="295"/>
      <c r="AH17" s="295"/>
      <c r="AI17" s="295"/>
    </row>
    <row r="18" spans="1:35" x14ac:dyDescent="0.25"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59"/>
      <c r="N18" s="10"/>
      <c r="O18" s="10"/>
      <c r="P18" s="10"/>
      <c r="Q18" s="10"/>
      <c r="R18" s="10"/>
      <c r="S18" s="10"/>
      <c r="T18" s="11"/>
      <c r="U18" s="59"/>
      <c r="Y18" s="80"/>
      <c r="Z18" s="80"/>
      <c r="AA18" s="80"/>
      <c r="AB18" s="289" t="s">
        <v>204</v>
      </c>
      <c r="AC18" s="289"/>
      <c r="AD18" s="289"/>
      <c r="AE18" s="289"/>
      <c r="AF18" s="289"/>
      <c r="AG18" s="289"/>
      <c r="AH18" s="289"/>
      <c r="AI18" s="289"/>
    </row>
    <row r="19" spans="1:35" x14ac:dyDescent="0.25">
      <c r="A19" s="48"/>
      <c r="B19" s="48">
        <v>1</v>
      </c>
      <c r="C19" s="83">
        <f>C14+1</f>
        <v>2018</v>
      </c>
      <c r="D19" s="105">
        <f>O19*$E$10*(1-$E$11)^B19</f>
        <v>7499.283384667473</v>
      </c>
      <c r="E19" s="105">
        <f>'Rev Forecast'!K13</f>
        <v>29071.199999999997</v>
      </c>
      <c r="F19" s="105">
        <f>F$16*$E19*(1-$F$17)^B19</f>
        <v>6310.5947085852467</v>
      </c>
      <c r="G19" s="105">
        <f>G$16*$E19*(1-$G$17)^B19</f>
        <v>2528.8780266021763</v>
      </c>
      <c r="H19" s="105">
        <f>H$16*$E19*(1-$H$17)^B19</f>
        <v>3068.821958887545</v>
      </c>
      <c r="I19" s="105">
        <f>I$16*$E19*(1-$I$17)^B19</f>
        <v>2440.9965272067711</v>
      </c>
      <c r="J19" s="105">
        <f>J$16*$E19*(1-$J$17)^B19</f>
        <v>516.74321644498184</v>
      </c>
      <c r="K19" s="105">
        <f>K$16*$E19*(1-$K$17)^B19</f>
        <v>580.01789600967345</v>
      </c>
      <c r="L19" s="105">
        <f>L$16*$E19*(1-$L$17)^B19</f>
        <v>3234.0391777509067</v>
      </c>
      <c r="M19" s="59">
        <f>E19-SUM(F19:L19)</f>
        <v>10391.108488512698</v>
      </c>
      <c r="N19" s="105">
        <f>(N$16-$N$17)*D14</f>
        <v>1205.415719160105</v>
      </c>
      <c r="O19" s="105">
        <f>Q19+R19</f>
        <v>37735.964314389355</v>
      </c>
      <c r="P19" s="105">
        <f t="shared" ref="P19:P29" si="1">M19*(1-$E$6)</f>
        <v>6858.1316024183798</v>
      </c>
      <c r="Q19" s="105">
        <f>Q14*(1+($E19-$E14)/$E14)*(1-$J$11)^$B19</f>
        <v>4593.7417363966133</v>
      </c>
      <c r="R19" s="105">
        <f>R14*(1+($E19-$E14)/$E14)*(1-$J$11)^$B19</f>
        <v>33142.222577992739</v>
      </c>
      <c r="S19" s="105">
        <f>P19+L19-(Q19-Q14)-(R19-R14+L19)</f>
        <v>1652.167288029028</v>
      </c>
      <c r="T19" s="130">
        <f t="shared" ref="T19:T29" si="2">P19/O19</f>
        <v>0.1817399323701199</v>
      </c>
      <c r="U19" s="59">
        <f t="shared" ref="U19:U29" si="3">O19*(T19-$E$8)</f>
        <v>65.658025828295692</v>
      </c>
      <c r="V19" s="9"/>
      <c r="W19" s="11">
        <f>(E19-E14)/E14</f>
        <v>0.1717533252720676</v>
      </c>
      <c r="X19" s="11">
        <f t="shared" ref="X19:X29" si="4">E19/O19</f>
        <v>0.77038444699065667</v>
      </c>
      <c r="Y19" s="102">
        <f t="shared" ref="Y19:Y29" si="5">D19/O19</f>
        <v>0.19873040270519524</v>
      </c>
      <c r="AB19" s="295"/>
      <c r="AC19" s="295"/>
      <c r="AD19" s="295"/>
      <c r="AE19" s="295"/>
      <c r="AF19" s="295"/>
      <c r="AG19" s="295"/>
      <c r="AH19" s="295"/>
      <c r="AI19" s="295"/>
    </row>
    <row r="20" spans="1:35" x14ac:dyDescent="0.25">
      <c r="A20" s="48"/>
      <c r="B20" s="48">
        <f>B19+1</f>
        <v>2</v>
      </c>
      <c r="C20" s="83">
        <f t="shared" ref="C20:C29" si="6">C19+1</f>
        <v>2019</v>
      </c>
      <c r="D20" s="105">
        <f t="shared" ref="D20:D29" si="7">O20*$E$10*(1-$E$11)^B20</f>
        <v>9053.4294167035769</v>
      </c>
      <c r="E20" s="105">
        <f>'Rev Forecast'!K23</f>
        <v>36170.184999999998</v>
      </c>
      <c r="F20" s="105">
        <f t="shared" ref="F20:F29" si="8">F$16*$E20*(1-$F$17)^B20</f>
        <v>7773.0820980507851</v>
      </c>
      <c r="G20" s="105">
        <f t="shared" ref="G20:G29" si="9">G$16*$E20*(1-$G$17)^B20</f>
        <v>3114.9483407629982</v>
      </c>
      <c r="H20" s="105">
        <f t="shared" ref="H20:H28" si="10">H$16*$E20*(1-$H$17)^B20</f>
        <v>3703.6607448428049</v>
      </c>
      <c r="I20" s="105">
        <f t="shared" ref="I20:I29" si="11">I$16*$E20*(1-$I$17)^B20</f>
        <v>2915.5880780459493</v>
      </c>
      <c r="J20" s="105">
        <f t="shared" ref="J20:J29" si="12">J$16*$E20*(1-$J$17)^B20</f>
        <v>630.06975224909309</v>
      </c>
      <c r="K20" s="105">
        <f t="shared" ref="K20:K29" si="13">K$16*$E20*(1-$K$17)^B20</f>
        <v>714.43769283555014</v>
      </c>
      <c r="L20" s="105">
        <f t="shared" ref="L20:L29" si="14">L$16*$E20*(1-$L$17)^B20</f>
        <v>4023.7690689238207</v>
      </c>
      <c r="M20" s="59">
        <f t="shared" ref="M20:M29" si="15">E20-SUM(F20:L20)</f>
        <v>13294.629224288998</v>
      </c>
      <c r="N20" s="105">
        <f>(N$16-$N$17)*D19</f>
        <v>1384.3421247035785</v>
      </c>
      <c r="O20" s="105">
        <f t="shared" ref="O20:O29" si="16">Q20+R20</f>
        <v>46016.50313292208</v>
      </c>
      <c r="P20" s="105">
        <f t="shared" si="1"/>
        <v>8774.4552880307365</v>
      </c>
      <c r="Q20" s="105">
        <f t="shared" ref="Q20:Q28" si="17">Q19*(1+(E20-E19)/E19)*(1-$J$11)^B20</f>
        <v>5601.7630619849815</v>
      </c>
      <c r="R20" s="105">
        <f t="shared" ref="R20:R28" si="18">R19*(1+($E20-$E19)/$E19)*(1-$J$11)^$B20</f>
        <v>40414.7400709371</v>
      </c>
      <c r="S20" s="105">
        <f t="shared" ref="S20:S29" si="19">P20+L20-(Q20-Q19)-(R20-R19+L20)</f>
        <v>493.91646949800815</v>
      </c>
      <c r="T20" s="130">
        <f t="shared" si="2"/>
        <v>0.19068061870509961</v>
      </c>
      <c r="U20" s="59">
        <f t="shared" si="3"/>
        <v>491.48472410476285</v>
      </c>
      <c r="V20" s="9"/>
      <c r="W20" s="11">
        <f t="shared" ref="W20:W29" si="20">(E20-E19)/E19</f>
        <v>0.24419305016648785</v>
      </c>
      <c r="X20" s="11">
        <f t="shared" si="4"/>
        <v>0.78602637178926305</v>
      </c>
      <c r="Y20" s="102">
        <f t="shared" si="5"/>
        <v>0.19674309867814324</v>
      </c>
      <c r="AD20" s="28"/>
      <c r="AF20" s="28"/>
    </row>
    <row r="21" spans="1:35" x14ac:dyDescent="0.25">
      <c r="A21" s="48"/>
      <c r="B21" s="48">
        <f t="shared" ref="B21:B28" si="21">B20+1</f>
        <v>3</v>
      </c>
      <c r="C21" s="83">
        <f t="shared" si="6"/>
        <v>2020</v>
      </c>
      <c r="D21" s="105">
        <f t="shared" si="7"/>
        <v>10538.480475857252</v>
      </c>
      <c r="E21" s="105">
        <f>'Rev Forecast'!K33</f>
        <v>43830.33872</v>
      </c>
      <c r="F21" s="105">
        <f t="shared" si="8"/>
        <v>9325.0795660396761</v>
      </c>
      <c r="G21" s="105">
        <f t="shared" si="9"/>
        <v>3736.8885025673703</v>
      </c>
      <c r="H21" s="105">
        <f t="shared" si="10"/>
        <v>4353.3845293275335</v>
      </c>
      <c r="I21" s="105">
        <f t="shared" si="11"/>
        <v>3391.7317400394231</v>
      </c>
      <c r="J21" s="105">
        <f t="shared" si="12"/>
        <v>748.23635115878301</v>
      </c>
      <c r="K21" s="105">
        <f t="shared" si="13"/>
        <v>857.08451893747031</v>
      </c>
      <c r="L21" s="105">
        <f t="shared" si="14"/>
        <v>4875.9264355985488</v>
      </c>
      <c r="M21" s="59">
        <f t="shared" si="15"/>
        <v>16542.007076331196</v>
      </c>
      <c r="N21" s="105">
        <f t="shared" ref="N21:N29" si="22">(N$16-$N$17)*D20</f>
        <v>1671.2321793569665</v>
      </c>
      <c r="O21" s="105">
        <f t="shared" si="16"/>
        <v>54105.734051731488</v>
      </c>
      <c r="P21" s="105">
        <f t="shared" si="1"/>
        <v>10917.724670378588</v>
      </c>
      <c r="Q21" s="105">
        <f t="shared" si="17"/>
        <v>6586.4957529928279</v>
      </c>
      <c r="R21" s="105">
        <f t="shared" si="18"/>
        <v>47519.238298738659</v>
      </c>
      <c r="S21" s="105">
        <f t="shared" si="19"/>
        <v>2828.4937515691818</v>
      </c>
      <c r="T21" s="130">
        <f t="shared" si="2"/>
        <v>0.20178498382334023</v>
      </c>
      <c r="U21" s="59">
        <f t="shared" si="3"/>
        <v>1178.6925410669194</v>
      </c>
      <c r="V21" s="9"/>
      <c r="W21" s="11">
        <f t="shared" si="20"/>
        <v>0.21178088306708973</v>
      </c>
      <c r="X21" s="11">
        <f t="shared" si="4"/>
        <v>0.8100867586066387</v>
      </c>
      <c r="Y21" s="102">
        <f t="shared" si="5"/>
        <v>0.19477566769136181</v>
      </c>
      <c r="AD21" s="28"/>
      <c r="AF21" s="28"/>
    </row>
    <row r="22" spans="1:35" x14ac:dyDescent="0.25">
      <c r="A22" s="48"/>
      <c r="B22" s="48">
        <f t="shared" si="21"/>
        <v>4</v>
      </c>
      <c r="C22" s="83">
        <f t="shared" si="6"/>
        <v>2021</v>
      </c>
      <c r="D22" s="105">
        <f t="shared" si="7"/>
        <v>11946.385656571205</v>
      </c>
      <c r="E22" s="105">
        <f>'Rev Forecast'!K43</f>
        <v>52246.522493200006</v>
      </c>
      <c r="F22" s="105">
        <f t="shared" si="8"/>
        <v>11004.499704787862</v>
      </c>
      <c r="G22" s="105">
        <f t="shared" si="9"/>
        <v>4409.8914258157238</v>
      </c>
      <c r="H22" s="105">
        <f t="shared" si="10"/>
        <v>5033.6304280120812</v>
      </c>
      <c r="I22" s="105">
        <f t="shared" si="11"/>
        <v>3881.2828298625413</v>
      </c>
      <c r="J22" s="105">
        <f t="shared" si="12"/>
        <v>874.07246950032948</v>
      </c>
      <c r="K22" s="105">
        <f t="shared" si="13"/>
        <v>1011.4429875724138</v>
      </c>
      <c r="L22" s="105">
        <f t="shared" si="14"/>
        <v>5812.1887175022975</v>
      </c>
      <c r="M22" s="59">
        <f t="shared" si="15"/>
        <v>20219.513930146757</v>
      </c>
      <c r="N22" s="105">
        <f t="shared" si="22"/>
        <v>1945.3675377733834</v>
      </c>
      <c r="O22" s="105">
        <f t="shared" si="16"/>
        <v>61953.61238797057</v>
      </c>
      <c r="P22" s="105">
        <f t="shared" si="1"/>
        <v>13344.879193896859</v>
      </c>
      <c r="Q22" s="105">
        <f t="shared" si="17"/>
        <v>7541.8476807981388</v>
      </c>
      <c r="R22" s="105">
        <f t="shared" si="18"/>
        <v>54411.764707172428</v>
      </c>
      <c r="S22" s="105">
        <f t="shared" si="19"/>
        <v>5497.000857657782</v>
      </c>
      <c r="T22" s="130">
        <f t="shared" si="2"/>
        <v>0.21540114739924368</v>
      </c>
      <c r="U22" s="59">
        <f t="shared" si="3"/>
        <v>2193.2289640621557</v>
      </c>
      <c r="V22" s="9"/>
      <c r="W22" s="11">
        <f t="shared" si="20"/>
        <v>0.19201731081671197</v>
      </c>
      <c r="X22" s="11">
        <f t="shared" si="4"/>
        <v>0.84331680558056732</v>
      </c>
      <c r="Y22" s="102">
        <f t="shared" si="5"/>
        <v>0.19282791101444821</v>
      </c>
      <c r="AD22" s="28"/>
      <c r="AF22" s="28"/>
    </row>
    <row r="23" spans="1:35" x14ac:dyDescent="0.25">
      <c r="A23" s="48"/>
      <c r="B23" s="48">
        <f t="shared" si="21"/>
        <v>5</v>
      </c>
      <c r="C23" s="83">
        <f t="shared" si="6"/>
        <v>2022</v>
      </c>
      <c r="D23" s="105">
        <f t="shared" si="7"/>
        <v>13188.800991152373</v>
      </c>
      <c r="E23" s="105">
        <f>'Rev Forecast'!K53</f>
        <v>61265.362310756005</v>
      </c>
      <c r="F23" s="105">
        <f t="shared" si="8"/>
        <v>12775.06488464724</v>
      </c>
      <c r="G23" s="105">
        <f t="shared" si="9"/>
        <v>5119.4193839211366</v>
      </c>
      <c r="H23" s="105">
        <f t="shared" si="10"/>
        <v>5725.4638563211729</v>
      </c>
      <c r="I23" s="105">
        <f t="shared" si="11"/>
        <v>4369.2222937837405</v>
      </c>
      <c r="J23" s="105">
        <f t="shared" si="12"/>
        <v>1004.4565015026466</v>
      </c>
      <c r="K23" s="105">
        <f t="shared" si="13"/>
        <v>1174.1787577800771</v>
      </c>
      <c r="L23" s="105">
        <f t="shared" si="14"/>
        <v>6815.4937516197733</v>
      </c>
      <c r="M23" s="59">
        <f t="shared" si="15"/>
        <v>24282.062881180216</v>
      </c>
      <c r="N23" s="105">
        <f t="shared" si="22"/>
        <v>2205.2620302572345</v>
      </c>
      <c r="O23" s="105">
        <f t="shared" si="16"/>
        <v>69087.618763789971</v>
      </c>
      <c r="P23" s="105">
        <f t="shared" si="1"/>
        <v>16026.161501578941</v>
      </c>
      <c r="Q23" s="105">
        <f t="shared" si="17"/>
        <v>8410.297273427861</v>
      </c>
      <c r="R23" s="105">
        <f t="shared" si="18"/>
        <v>60677.321490362112</v>
      </c>
      <c r="S23" s="105">
        <f t="shared" si="19"/>
        <v>8892.1551257595365</v>
      </c>
      <c r="T23" s="130">
        <f t="shared" si="2"/>
        <v>0.231968647759771</v>
      </c>
      <c r="U23" s="59">
        <f t="shared" si="3"/>
        <v>3590.3901240967466</v>
      </c>
      <c r="V23" s="9"/>
      <c r="W23" s="11">
        <f t="shared" si="20"/>
        <v>0.17262086330683196</v>
      </c>
      <c r="X23" s="11">
        <f t="shared" si="4"/>
        <v>0.88677773828363948</v>
      </c>
      <c r="Y23" s="102">
        <f t="shared" si="5"/>
        <v>0.19089963190430373</v>
      </c>
      <c r="AD23" s="28"/>
      <c r="AF23" s="28"/>
    </row>
    <row r="24" spans="1:35" x14ac:dyDescent="0.25">
      <c r="A24" s="48"/>
      <c r="B24" s="48">
        <f t="shared" si="21"/>
        <v>6</v>
      </c>
      <c r="C24" s="83">
        <f t="shared" si="6"/>
        <v>2023</v>
      </c>
      <c r="D24" s="105">
        <f t="shared" si="7"/>
        <v>14202.916654571702</v>
      </c>
      <c r="E24" s="105">
        <f>E23*(1+'Rev Forecast'!$M$53-($E$17*(B24-$B$23)))</f>
        <v>70784.939856744357</v>
      </c>
      <c r="F24" s="105">
        <f t="shared" si="8"/>
        <v>14612.488097101026</v>
      </c>
      <c r="G24" s="105">
        <f t="shared" si="9"/>
        <v>5855.7397153823968</v>
      </c>
      <c r="H24" s="105">
        <f t="shared" si="10"/>
        <v>6416.6488445134128</v>
      </c>
      <c r="I24" s="105">
        <f t="shared" si="11"/>
        <v>4846.1989058155596</v>
      </c>
      <c r="J24" s="105">
        <f t="shared" si="12"/>
        <v>1137.321033591538</v>
      </c>
      <c r="K24" s="105">
        <f t="shared" si="13"/>
        <v>1343.0595677482561</v>
      </c>
      <c r="L24" s="105">
        <f t="shared" si="14"/>
        <v>7874.5035874491905</v>
      </c>
      <c r="M24" s="59">
        <f t="shared" si="15"/>
        <v>28698.980105142982</v>
      </c>
      <c r="N24" s="105">
        <f t="shared" si="22"/>
        <v>2434.6076618084903</v>
      </c>
      <c r="O24" s="105">
        <f t="shared" si="16"/>
        <v>75151.430707603708</v>
      </c>
      <c r="P24" s="105">
        <f t="shared" si="1"/>
        <v>18941.326869394365</v>
      </c>
      <c r="Q24" s="105">
        <f t="shared" si="17"/>
        <v>9148.4680480206171</v>
      </c>
      <c r="R24" s="105">
        <f t="shared" si="18"/>
        <v>66002.962659583092</v>
      </c>
      <c r="S24" s="105">
        <f t="shared" si="19"/>
        <v>12877.514925580628</v>
      </c>
      <c r="T24" s="130">
        <f t="shared" si="2"/>
        <v>0.25204213267862524</v>
      </c>
      <c r="U24" s="59">
        <f t="shared" si="3"/>
        <v>5414.0693420256985</v>
      </c>
      <c r="V24" s="9"/>
      <c r="W24" s="11">
        <f t="shared" si="20"/>
        <v>0.15538270218173597</v>
      </c>
      <c r="X24" s="11">
        <f t="shared" si="4"/>
        <v>0.94189743548797722</v>
      </c>
      <c r="Y24" s="102">
        <f t="shared" si="5"/>
        <v>0.18899063558526069</v>
      </c>
      <c r="AD24" s="28"/>
      <c r="AF24" s="28"/>
    </row>
    <row r="25" spans="1:35" x14ac:dyDescent="0.25">
      <c r="A25" s="48"/>
      <c r="B25" s="48">
        <f t="shared" si="21"/>
        <v>7</v>
      </c>
      <c r="C25" s="83">
        <f t="shared" si="6"/>
        <v>2024</v>
      </c>
      <c r="D25" s="105">
        <f t="shared" si="7"/>
        <v>14879.946463809923</v>
      </c>
      <c r="E25" s="105">
        <f>E24*(1+'Rev Forecast'!$M$53-($E$17*(B25-$B$23)))</f>
        <v>80367.996288322072</v>
      </c>
      <c r="F25" s="105">
        <f t="shared" si="8"/>
        <v>16424.858559072167</v>
      </c>
      <c r="G25" s="105">
        <f t="shared" si="9"/>
        <v>6582.0205255105375</v>
      </c>
      <c r="H25" s="105">
        <f t="shared" si="10"/>
        <v>7066.7915409139041</v>
      </c>
      <c r="I25" s="105">
        <f t="shared" si="11"/>
        <v>5282.1987926352404</v>
      </c>
      <c r="J25" s="105">
        <f t="shared" si="12"/>
        <v>1265.4687357999396</v>
      </c>
      <c r="K25" s="105">
        <f t="shared" si="13"/>
        <v>1509.6377352088389</v>
      </c>
      <c r="L25" s="105">
        <f t="shared" si="14"/>
        <v>8940.5751614578367</v>
      </c>
      <c r="M25" s="59">
        <f t="shared" si="15"/>
        <v>33296.445237723616</v>
      </c>
      <c r="N25" s="105">
        <f t="shared" si="22"/>
        <v>2621.8099530385266</v>
      </c>
      <c r="O25" s="105">
        <f t="shared" si="16"/>
        <v>79529.067177313424</v>
      </c>
      <c r="P25" s="105">
        <f t="shared" si="1"/>
        <v>21975.653856897585</v>
      </c>
      <c r="Q25" s="105">
        <f t="shared" si="17"/>
        <v>9681.3743013268122</v>
      </c>
      <c r="R25" s="105">
        <f t="shared" si="18"/>
        <v>69847.692875986613</v>
      </c>
      <c r="S25" s="105">
        <f t="shared" si="19"/>
        <v>17598.017387187869</v>
      </c>
      <c r="T25" s="130">
        <f t="shared" si="2"/>
        <v>0.27632228865330377</v>
      </c>
      <c r="U25" s="59">
        <f t="shared" si="3"/>
        <v>7660.4217649811708</v>
      </c>
      <c r="V25" s="9"/>
      <c r="W25" s="11">
        <f t="shared" si="20"/>
        <v>0.13538270218173601</v>
      </c>
      <c r="X25" s="11">
        <f t="shared" si="4"/>
        <v>1.010548710563123</v>
      </c>
      <c r="Y25" s="102">
        <f t="shared" si="5"/>
        <v>0.18710072922940807</v>
      </c>
      <c r="AD25" s="28"/>
      <c r="AF25" s="28"/>
    </row>
    <row r="26" spans="1:35" x14ac:dyDescent="0.25">
      <c r="A26" s="48"/>
      <c r="B26" s="48">
        <f t="shared" si="21"/>
        <v>8</v>
      </c>
      <c r="C26" s="83">
        <f t="shared" si="6"/>
        <v>2025</v>
      </c>
      <c r="D26" s="105">
        <f t="shared" si="7"/>
        <v>15161.494930334007</v>
      </c>
      <c r="E26" s="105">
        <f>E25*(1+'Rev Forecast'!$M$53-($E$17*(B26-$B$23)))</f>
        <v>89641.072869000403</v>
      </c>
      <c r="F26" s="105">
        <f t="shared" si="8"/>
        <v>18136.803091345017</v>
      </c>
      <c r="G26" s="105">
        <f t="shared" si="9"/>
        <v>7268.0571211639972</v>
      </c>
      <c r="H26" s="105">
        <f t="shared" si="10"/>
        <v>7645.7117333197966</v>
      </c>
      <c r="I26" s="105">
        <f t="shared" si="11"/>
        <v>5656.0062362789749</v>
      </c>
      <c r="J26" s="105">
        <f t="shared" si="12"/>
        <v>1383.2522993017812</v>
      </c>
      <c r="K26" s="105">
        <f t="shared" si="13"/>
        <v>1666.9855782486234</v>
      </c>
      <c r="L26" s="105">
        <f t="shared" si="14"/>
        <v>9972.1628826457527</v>
      </c>
      <c r="M26" s="59">
        <f t="shared" si="15"/>
        <v>37912.093926696456</v>
      </c>
      <c r="N26" s="105">
        <f t="shared" si="22"/>
        <v>2746.7873457484379</v>
      </c>
      <c r="O26" s="105">
        <f t="shared" si="16"/>
        <v>81852.387250688509</v>
      </c>
      <c r="P26" s="105">
        <f t="shared" si="1"/>
        <v>25021.981991619657</v>
      </c>
      <c r="Q26" s="105">
        <f t="shared" si="17"/>
        <v>9964.2008457647262</v>
      </c>
      <c r="R26" s="105">
        <f t="shared" si="18"/>
        <v>71888.186404923777</v>
      </c>
      <c r="S26" s="105">
        <f t="shared" si="19"/>
        <v>22698.661918244579</v>
      </c>
      <c r="T26" s="130">
        <f t="shared" si="2"/>
        <v>0.30569642293981086</v>
      </c>
      <c r="U26" s="59">
        <f t="shared" si="3"/>
        <v>10288.552286495726</v>
      </c>
      <c r="V26" s="9"/>
      <c r="W26" s="11">
        <f t="shared" si="20"/>
        <v>0.11538270218173602</v>
      </c>
      <c r="X26" s="11">
        <f t="shared" si="4"/>
        <v>1.0951552652271161</v>
      </c>
      <c r="Y26" s="102">
        <f t="shared" si="5"/>
        <v>0.18522972193711398</v>
      </c>
      <c r="AD26" s="28"/>
      <c r="AF26" s="28"/>
    </row>
    <row r="27" spans="1:35" x14ac:dyDescent="0.25">
      <c r="A27" s="48"/>
      <c r="B27" s="48">
        <f t="shared" si="21"/>
        <v>9</v>
      </c>
      <c r="C27" s="83">
        <f t="shared" si="6"/>
        <v>2026</v>
      </c>
      <c r="D27" s="105">
        <f t="shared" si="7"/>
        <v>15019.651278383553</v>
      </c>
      <c r="E27" s="105">
        <f>E26*(1+'Rev Forecast'!$M$53-($E$17*(B27-$B$23)))</f>
        <v>98191.280625715561</v>
      </c>
      <c r="F27" s="105">
        <f t="shared" si="8"/>
        <v>19668.07297534421</v>
      </c>
      <c r="G27" s="105">
        <f t="shared" si="9"/>
        <v>7881.6910085019099</v>
      </c>
      <c r="H27" s="105">
        <f t="shared" si="10"/>
        <v>8123.7309671900484</v>
      </c>
      <c r="I27" s="105">
        <f t="shared" si="11"/>
        <v>5947.6717388659326</v>
      </c>
      <c r="J27" s="105">
        <f t="shared" si="12"/>
        <v>1484.8868285801186</v>
      </c>
      <c r="K27" s="105">
        <f t="shared" si="13"/>
        <v>1807.7272955279609</v>
      </c>
      <c r="L27" s="105">
        <f t="shared" si="14"/>
        <v>10923.334724988914</v>
      </c>
      <c r="M27" s="59">
        <f t="shared" si="15"/>
        <v>42354.165086716464</v>
      </c>
      <c r="N27" s="105">
        <f t="shared" si="22"/>
        <v>2798.7602320047249</v>
      </c>
      <c r="O27" s="105">
        <f t="shared" si="16"/>
        <v>81905.672421248237</v>
      </c>
      <c r="P27" s="105">
        <f t="shared" si="1"/>
        <v>27953.748957232863</v>
      </c>
      <c r="Q27" s="105">
        <f t="shared" si="17"/>
        <v>9970.6874512186623</v>
      </c>
      <c r="R27" s="105">
        <f t="shared" si="18"/>
        <v>71934.984970029574</v>
      </c>
      <c r="S27" s="105">
        <f t="shared" si="19"/>
        <v>27900.463786673128</v>
      </c>
      <c r="T27" s="130">
        <f t="shared" si="2"/>
        <v>0.34129197808747874</v>
      </c>
      <c r="U27" s="59">
        <f t="shared" si="3"/>
        <v>13210.727921408183</v>
      </c>
      <c r="V27" s="9"/>
      <c r="W27" s="11">
        <f t="shared" si="20"/>
        <v>9.5382702181735959E-2</v>
      </c>
      <c r="X27" s="11">
        <f t="shared" si="4"/>
        <v>1.1988337037355481</v>
      </c>
      <c r="Y27" s="102">
        <f t="shared" si="5"/>
        <v>0.18337742471774282</v>
      </c>
      <c r="AD27" s="28"/>
      <c r="AF27" s="28"/>
    </row>
    <row r="28" spans="1:35" x14ac:dyDescent="0.25">
      <c r="A28" s="48">
        <v>0</v>
      </c>
      <c r="B28" s="48">
        <f t="shared" si="21"/>
        <v>10</v>
      </c>
      <c r="C28" s="83">
        <f t="shared" si="6"/>
        <v>2027</v>
      </c>
      <c r="D28" s="105">
        <f t="shared" si="7"/>
        <v>14461.389933818604</v>
      </c>
      <c r="E28" s="105">
        <f>E27*(1+'Rev Forecast'!$M$53-($E$17*(B28-$B$23)))</f>
        <v>105593.20468996714</v>
      </c>
      <c r="F28" s="105">
        <f t="shared" si="8"/>
        <v>20939.198408303902</v>
      </c>
      <c r="G28" s="105">
        <f t="shared" si="9"/>
        <v>8391.0758327394324</v>
      </c>
      <c r="H28" s="105">
        <f t="shared" si="10"/>
        <v>8474.0361665154542</v>
      </c>
      <c r="I28" s="105">
        <f t="shared" si="11"/>
        <v>6140.1823739823267</v>
      </c>
      <c r="J28" s="105">
        <f t="shared" si="12"/>
        <v>1564.8851779495051</v>
      </c>
      <c r="K28" s="105">
        <f t="shared" si="13"/>
        <v>1924.5586772338149</v>
      </c>
      <c r="L28" s="105">
        <f t="shared" si="14"/>
        <v>11746.765213394168</v>
      </c>
      <c r="M28" s="59">
        <f t="shared" si="15"/>
        <v>46412.502839848537</v>
      </c>
      <c r="N28" s="105">
        <f t="shared" si="22"/>
        <v>2772.5763778356354</v>
      </c>
      <c r="O28" s="105">
        <f t="shared" si="16"/>
        <v>79657.921917590298</v>
      </c>
      <c r="P28" s="105">
        <f t="shared" si="1"/>
        <v>30632.251874300033</v>
      </c>
      <c r="Q28" s="105">
        <f t="shared" si="17"/>
        <v>9697.0602764727228</v>
      </c>
      <c r="R28" s="105">
        <f t="shared" si="18"/>
        <v>69960.861641117575</v>
      </c>
      <c r="S28" s="105">
        <f t="shared" si="19"/>
        <v>32880.002377957971</v>
      </c>
      <c r="T28" s="130">
        <f t="shared" si="2"/>
        <v>0.38454746416797658</v>
      </c>
      <c r="U28" s="59">
        <f t="shared" si="3"/>
        <v>16293.825929133778</v>
      </c>
      <c r="V28" s="9"/>
      <c r="W28" s="11">
        <f t="shared" si="20"/>
        <v>7.5382702181735997E-2</v>
      </c>
      <c r="X28" s="11">
        <f t="shared" si="4"/>
        <v>1.3255832207022431</v>
      </c>
      <c r="Y28" s="102">
        <f t="shared" si="5"/>
        <v>0.18154365047056539</v>
      </c>
      <c r="AD28" s="28"/>
      <c r="AF28" s="28"/>
    </row>
    <row r="29" spans="1:35" x14ac:dyDescent="0.25">
      <c r="A29" s="48">
        <v>1</v>
      </c>
      <c r="B29" s="48">
        <v>11</v>
      </c>
      <c r="C29" s="83">
        <f t="shared" si="6"/>
        <v>2028</v>
      </c>
      <c r="D29" s="105">
        <f t="shared" si="7"/>
        <v>15032.614836204439</v>
      </c>
      <c r="E29" s="105">
        <f>E28*(1+$E$4)</f>
        <v>110872.8649244655</v>
      </c>
      <c r="F29" s="105">
        <f t="shared" si="8"/>
        <v>21766.296745431908</v>
      </c>
      <c r="G29" s="105">
        <f t="shared" si="9"/>
        <v>8722.52332813264</v>
      </c>
      <c r="H29" s="105">
        <f>H$16*$E29*(1-$H$17)^B29</f>
        <v>8630.8058355959893</v>
      </c>
      <c r="I29" s="105">
        <f t="shared" si="11"/>
        <v>6189.3038329741858</v>
      </c>
      <c r="J29" s="105">
        <f t="shared" si="12"/>
        <v>1610.2668481100407</v>
      </c>
      <c r="K29" s="105">
        <f t="shared" si="13"/>
        <v>2000.5787449845504</v>
      </c>
      <c r="L29" s="105">
        <f t="shared" si="14"/>
        <v>12334.103474063875</v>
      </c>
      <c r="M29" s="59">
        <f t="shared" si="15"/>
        <v>49618.986115172302</v>
      </c>
      <c r="N29" s="105">
        <f t="shared" si="22"/>
        <v>2669.5232384576807</v>
      </c>
      <c r="O29" s="105">
        <f t="shared" si="16"/>
        <v>83640.81801346982</v>
      </c>
      <c r="P29" s="105">
        <f t="shared" si="1"/>
        <v>32748.530836013717</v>
      </c>
      <c r="Q29" s="105">
        <f>Q28*(1+$E$4)</f>
        <v>10181.913290296359</v>
      </c>
      <c r="R29" s="105">
        <f>R28*(1+$E$4)</f>
        <v>73458.904723173458</v>
      </c>
      <c r="S29" s="105">
        <f t="shared" si="19"/>
        <v>28765.634740134195</v>
      </c>
      <c r="T29" s="130">
        <f t="shared" si="2"/>
        <v>0.3915376680168261</v>
      </c>
      <c r="U29" s="59">
        <f t="shared" si="3"/>
        <v>17693.183593589147</v>
      </c>
      <c r="W29" s="11">
        <f t="shared" si="20"/>
        <v>4.9999999999999982E-2</v>
      </c>
      <c r="X29" s="11">
        <f t="shared" si="4"/>
        <v>1.3255832207022429</v>
      </c>
      <c r="Y29" s="102">
        <f t="shared" si="5"/>
        <v>0.17972821396585972</v>
      </c>
      <c r="AA29" s="82"/>
      <c r="AB29" s="82"/>
      <c r="AD29" s="28"/>
      <c r="AF29" s="28"/>
    </row>
    <row r="30" spans="1:35" x14ac:dyDescent="0.25">
      <c r="A30" s="48"/>
      <c r="B30" s="48"/>
      <c r="C30" s="83"/>
      <c r="D30" s="105"/>
      <c r="E30" s="105"/>
      <c r="F30" s="105"/>
      <c r="G30" s="105"/>
      <c r="H30" s="105"/>
      <c r="I30" s="105"/>
      <c r="J30" s="105"/>
      <c r="K30" s="105"/>
      <c r="L30" s="105"/>
      <c r="M30" s="59"/>
      <c r="N30" s="105"/>
      <c r="O30" s="105"/>
      <c r="P30" s="105"/>
      <c r="Q30" s="105"/>
      <c r="R30" s="105"/>
      <c r="S30" s="105"/>
      <c r="T30" s="130"/>
      <c r="U30" s="59"/>
      <c r="W30" s="11"/>
      <c r="X30" s="11"/>
      <c r="Y30" s="102"/>
      <c r="AA30" s="82"/>
      <c r="AB30" s="82"/>
      <c r="AD30" s="28"/>
      <c r="AF30" s="28"/>
    </row>
    <row r="31" spans="1:35" ht="17.25" x14ac:dyDescent="0.25">
      <c r="A31" s="147" t="s">
        <v>214</v>
      </c>
      <c r="B31" s="198" t="s">
        <v>266</v>
      </c>
      <c r="C31" s="83"/>
      <c r="D31" s="105"/>
      <c r="E31" s="105"/>
      <c r="F31" s="105"/>
      <c r="G31" s="105"/>
      <c r="H31" s="105"/>
      <c r="I31" s="105"/>
      <c r="J31" s="105"/>
      <c r="K31" s="105"/>
      <c r="L31" s="105"/>
      <c r="M31" s="59"/>
      <c r="N31" s="105"/>
      <c r="O31" s="105"/>
      <c r="P31" s="105"/>
      <c r="Q31" s="105"/>
      <c r="R31" s="105"/>
      <c r="S31" s="105"/>
      <c r="T31" s="130"/>
      <c r="U31" s="59"/>
      <c r="W31" s="11"/>
      <c r="X31" s="11"/>
      <c r="Y31" s="102"/>
      <c r="AA31" s="82"/>
      <c r="AB31" s="82"/>
      <c r="AD31" s="28"/>
      <c r="AF31" s="28"/>
    </row>
    <row r="32" spans="1:35" ht="17.25" x14ac:dyDescent="0.25">
      <c r="A32" s="147" t="s">
        <v>233</v>
      </c>
      <c r="B32" s="198" t="s">
        <v>275</v>
      </c>
      <c r="C32" s="83"/>
      <c r="D32" s="105"/>
      <c r="E32" s="105"/>
      <c r="F32" s="105"/>
      <c r="G32" s="105"/>
      <c r="H32" s="105"/>
      <c r="I32" s="105"/>
      <c r="J32" s="105"/>
      <c r="K32" s="105"/>
      <c r="L32" s="105"/>
      <c r="M32" s="59"/>
      <c r="N32" s="105"/>
      <c r="O32" s="105"/>
      <c r="P32" s="105"/>
      <c r="Q32" s="105"/>
      <c r="R32" s="105"/>
      <c r="S32" s="105"/>
      <c r="T32" s="130"/>
      <c r="U32" s="59"/>
      <c r="W32" s="11"/>
      <c r="X32" s="11"/>
      <c r="Y32" s="102"/>
      <c r="AA32" s="82"/>
      <c r="AB32" s="82"/>
      <c r="AD32" s="28"/>
      <c r="AF32" s="28"/>
    </row>
    <row r="33" spans="1:32" ht="17.25" x14ac:dyDescent="0.25">
      <c r="A33" s="147" t="s">
        <v>264</v>
      </c>
      <c r="B33" s="198" t="s">
        <v>234</v>
      </c>
      <c r="C33" s="83"/>
      <c r="D33" s="105"/>
      <c r="E33" s="105"/>
      <c r="F33" s="105"/>
      <c r="G33" s="105"/>
      <c r="H33" s="105"/>
      <c r="I33" s="105"/>
      <c r="J33" s="105"/>
      <c r="K33" s="105"/>
      <c r="L33" s="105"/>
      <c r="M33" s="59"/>
      <c r="N33" s="105"/>
      <c r="O33" s="105"/>
      <c r="P33" s="105"/>
      <c r="Q33" s="105"/>
      <c r="R33" s="105"/>
      <c r="S33" s="105"/>
      <c r="T33" s="130"/>
      <c r="U33" s="59"/>
      <c r="W33" s="11"/>
      <c r="X33" s="11"/>
      <c r="Y33" s="102"/>
      <c r="AA33" s="82"/>
      <c r="AB33" s="82"/>
      <c r="AD33" s="28"/>
      <c r="AF33" s="28"/>
    </row>
    <row r="34" spans="1:32" ht="17.25" x14ac:dyDescent="0.25">
      <c r="A34" s="147" t="s">
        <v>269</v>
      </c>
      <c r="B34" s="198" t="s">
        <v>270</v>
      </c>
      <c r="C34" s="78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83"/>
      <c r="V34" s="63"/>
      <c r="W34" s="63"/>
      <c r="X34" s="84"/>
      <c r="Y34" s="84"/>
      <c r="Z34" s="84"/>
      <c r="AA34" s="84"/>
      <c r="AB34" s="84"/>
    </row>
    <row r="35" spans="1:32" ht="17.25" x14ac:dyDescent="0.25">
      <c r="A35" s="147" t="s">
        <v>273</v>
      </c>
      <c r="B35" s="198" t="s">
        <v>274</v>
      </c>
      <c r="C35" s="78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83"/>
      <c r="V35" s="63"/>
      <c r="W35" s="63"/>
      <c r="X35" s="84"/>
      <c r="Y35" s="84"/>
      <c r="Z35" s="84"/>
      <c r="AA35" s="84"/>
      <c r="AB35" s="84"/>
    </row>
    <row r="36" spans="1:32" ht="17.25" x14ac:dyDescent="0.25">
      <c r="A36" s="147" t="s">
        <v>277</v>
      </c>
      <c r="B36" s="198" t="s">
        <v>278</v>
      </c>
      <c r="C36" s="78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/>
      <c r="T36" s="79"/>
      <c r="U36" s="83"/>
      <c r="V36" s="63"/>
      <c r="W36" s="63"/>
      <c r="X36" s="84"/>
      <c r="Y36" s="84"/>
      <c r="Z36" s="84"/>
      <c r="AA36" s="84"/>
      <c r="AB36" s="84"/>
    </row>
    <row r="37" spans="1:32" x14ac:dyDescent="0.25">
      <c r="M37" s="290" t="s">
        <v>129</v>
      </c>
      <c r="N37" s="290"/>
      <c r="O37" s="290"/>
      <c r="P37" s="290"/>
      <c r="Q37" s="290"/>
      <c r="R37" s="290"/>
      <c r="S37" s="161"/>
      <c r="T37" s="161"/>
      <c r="U37" s="161"/>
      <c r="V37" s="161"/>
      <c r="W37" s="192"/>
      <c r="X37" s="192"/>
      <c r="Y37" s="192"/>
    </row>
    <row r="38" spans="1:32" ht="18" x14ac:dyDescent="0.35">
      <c r="D38" s="287" t="s">
        <v>303</v>
      </c>
      <c r="E38" s="287"/>
      <c r="F38" s="287"/>
      <c r="G38" s="296" t="s">
        <v>126</v>
      </c>
      <c r="H38" s="296"/>
      <c r="I38" s="296"/>
      <c r="J38" s="297" t="s">
        <v>130</v>
      </c>
      <c r="K38" s="297"/>
      <c r="L38" s="297"/>
      <c r="M38" s="298" t="s">
        <v>131</v>
      </c>
      <c r="N38" s="298"/>
      <c r="O38" s="298"/>
      <c r="P38" s="298" t="s">
        <v>132</v>
      </c>
      <c r="Q38" s="298"/>
      <c r="R38" s="298"/>
      <c r="S38" s="299" t="s">
        <v>293</v>
      </c>
      <c r="T38" s="299"/>
      <c r="U38" s="299"/>
      <c r="V38" s="300" t="s">
        <v>294</v>
      </c>
      <c r="W38" s="300"/>
      <c r="X38" s="300"/>
      <c r="Y38" s="301" t="s">
        <v>295</v>
      </c>
      <c r="Z38" s="301"/>
      <c r="AA38" s="301"/>
    </row>
    <row r="39" spans="1:32" ht="33" x14ac:dyDescent="0.35">
      <c r="C39" s="87" t="s">
        <v>120</v>
      </c>
      <c r="D39" s="85" t="s">
        <v>133</v>
      </c>
      <c r="E39" s="85" t="s">
        <v>134</v>
      </c>
      <c r="F39" s="85" t="s">
        <v>135</v>
      </c>
      <c r="G39" s="86" t="s">
        <v>126</v>
      </c>
      <c r="H39" s="86" t="s">
        <v>136</v>
      </c>
      <c r="I39" s="86" t="s">
        <v>137</v>
      </c>
      <c r="J39" s="87" t="s">
        <v>126</v>
      </c>
      <c r="K39" s="87" t="s">
        <v>138</v>
      </c>
      <c r="L39" s="87" t="s">
        <v>139</v>
      </c>
      <c r="M39" s="88" t="s">
        <v>126</v>
      </c>
      <c r="N39" s="88" t="s">
        <v>140</v>
      </c>
      <c r="O39" s="88" t="s">
        <v>141</v>
      </c>
      <c r="P39" s="88" t="s">
        <v>142</v>
      </c>
      <c r="Q39" s="88" t="s">
        <v>143</v>
      </c>
      <c r="R39" s="88" t="s">
        <v>144</v>
      </c>
      <c r="S39" s="89" t="s">
        <v>126</v>
      </c>
      <c r="T39" s="89" t="s">
        <v>145</v>
      </c>
      <c r="U39" s="89" t="s">
        <v>146</v>
      </c>
      <c r="V39" s="90" t="s">
        <v>126</v>
      </c>
      <c r="W39" s="90" t="s">
        <v>147</v>
      </c>
      <c r="X39" s="90" t="s">
        <v>148</v>
      </c>
      <c r="Y39" s="91" t="s">
        <v>126</v>
      </c>
      <c r="Z39" s="91" t="s">
        <v>149</v>
      </c>
      <c r="AA39" s="91" t="s">
        <v>150</v>
      </c>
    </row>
    <row r="40" spans="1:32" x14ac:dyDescent="0.25">
      <c r="C40" s="243">
        <f>C14</f>
        <v>2017</v>
      </c>
      <c r="D40" s="162">
        <f>U14</f>
        <v>-172.80000000000067</v>
      </c>
      <c r="E40" s="163"/>
      <c r="F40" s="160"/>
      <c r="G40" s="164">
        <f>S14</f>
        <v>1912.5999999999985</v>
      </c>
      <c r="H40" s="164"/>
      <c r="I40" s="164"/>
      <c r="J40" s="165">
        <f>S14</f>
        <v>1912.5999999999985</v>
      </c>
      <c r="K40" s="165"/>
      <c r="L40" s="165"/>
      <c r="M40" s="166">
        <f>S14</f>
        <v>1912.5999999999985</v>
      </c>
      <c r="N40" s="167"/>
      <c r="O40" s="167"/>
      <c r="P40" s="166">
        <f>N14*$E$7</f>
        <v>329.8</v>
      </c>
      <c r="Q40" s="167"/>
      <c r="R40" s="167"/>
      <c r="S40" s="168">
        <f>S14</f>
        <v>1912.5999999999985</v>
      </c>
      <c r="T40" s="169"/>
      <c r="U40" s="169"/>
      <c r="V40" s="170">
        <f>S14</f>
        <v>1912.5999999999985</v>
      </c>
      <c r="W40" s="171"/>
      <c r="X40" s="171"/>
      <c r="Y40" s="172">
        <f>S14</f>
        <v>1912.5999999999985</v>
      </c>
      <c r="Z40" s="173"/>
      <c r="AA40" s="173"/>
    </row>
    <row r="41" spans="1:32" x14ac:dyDescent="0.25">
      <c r="B41">
        <v>1</v>
      </c>
      <c r="C41" s="243">
        <f>C19</f>
        <v>2018</v>
      </c>
      <c r="D41" s="162">
        <f>U19</f>
        <v>65.658025828295692</v>
      </c>
      <c r="E41" s="163">
        <f t="shared" ref="E41:E49" si="23">D41/((1+$E$8)^$B41)</f>
        <v>55.642394769742111</v>
      </c>
      <c r="F41" s="163">
        <f>E41</f>
        <v>55.642394769742111</v>
      </c>
      <c r="G41" s="164">
        <f>S19</f>
        <v>1652.167288029028</v>
      </c>
      <c r="H41" s="164">
        <f>G41/((1+$E$8)^$B41)</f>
        <v>1400.1417695161256</v>
      </c>
      <c r="I41" s="164">
        <f>H41</f>
        <v>1400.1417695161256</v>
      </c>
      <c r="J41" s="165">
        <f>S19</f>
        <v>1652.167288029028</v>
      </c>
      <c r="K41" s="165">
        <f>J41/((1+$E$8)^$B41)</f>
        <v>1400.1417695161256</v>
      </c>
      <c r="L41" s="165">
        <f>K41</f>
        <v>1400.1417695161256</v>
      </c>
      <c r="M41" s="166">
        <f>S19</f>
        <v>1652.167288029028</v>
      </c>
      <c r="N41" s="166">
        <f>S19/((1+$I$7)^$B19)</f>
        <v>1403.8297969487874</v>
      </c>
      <c r="O41" s="166">
        <f>N41</f>
        <v>1403.8297969487874</v>
      </c>
      <c r="P41" s="166">
        <f>N19*$E$7</f>
        <v>409.84134451443572</v>
      </c>
      <c r="Q41" s="166">
        <f>P41/((1+$M$7)^$B41)</f>
        <v>365.10502571373212</v>
      </c>
      <c r="R41" s="166">
        <f>Q41</f>
        <v>365.10502571373212</v>
      </c>
      <c r="S41" s="168">
        <f>S19</f>
        <v>1652.167288029028</v>
      </c>
      <c r="T41" s="168">
        <f t="shared" ref="T41:T43" si="24">S41/((1+$E$8)^$B41)</f>
        <v>1400.1417695161256</v>
      </c>
      <c r="U41" s="168">
        <f>T41</f>
        <v>1400.1417695161256</v>
      </c>
      <c r="V41" s="170">
        <f>S19</f>
        <v>1652.167288029028</v>
      </c>
      <c r="W41" s="168">
        <f>V41/((1+$E$8)^$B41)</f>
        <v>1400.1417695161256</v>
      </c>
      <c r="X41" s="170">
        <f>W41</f>
        <v>1400.1417695161256</v>
      </c>
      <c r="Y41" s="172">
        <f>S19</f>
        <v>1652.167288029028</v>
      </c>
      <c r="Z41" s="172">
        <f>Y41/((1+$E$8)^B41)</f>
        <v>1400.1417695161256</v>
      </c>
      <c r="AA41" s="172">
        <f>Z41</f>
        <v>1400.1417695161256</v>
      </c>
    </row>
    <row r="42" spans="1:32" x14ac:dyDescent="0.25">
      <c r="B42">
        <f>B41+1</f>
        <v>2</v>
      </c>
      <c r="C42" s="243">
        <f>C20</f>
        <v>2019</v>
      </c>
      <c r="D42" s="162">
        <f>U20</f>
        <v>491.48472410476285</v>
      </c>
      <c r="E42" s="163">
        <f t="shared" si="23"/>
        <v>352.97667631769815</v>
      </c>
      <c r="F42" s="163">
        <f>F41+E42</f>
        <v>408.61907108744026</v>
      </c>
      <c r="G42" s="164">
        <f>S20</f>
        <v>493.91646949800815</v>
      </c>
      <c r="H42" s="164">
        <f t="shared" ref="H42:H49" si="25">G42/((1+$E$8)^$B42)</f>
        <v>354.72311799627136</v>
      </c>
      <c r="I42" s="164">
        <f>I41+H42</f>
        <v>1754.864887512397</v>
      </c>
      <c r="J42" s="165">
        <f>S20</f>
        <v>493.91646949800815</v>
      </c>
      <c r="K42" s="165">
        <f t="shared" ref="K42:K50" si="26">J42/((1+$E$8)^$B42)</f>
        <v>354.72311799627136</v>
      </c>
      <c r="L42" s="165">
        <f>L41+K42</f>
        <v>1754.864887512397</v>
      </c>
      <c r="M42" s="166">
        <f>S20</f>
        <v>493.91646949800815</v>
      </c>
      <c r="N42" s="166">
        <f t="shared" ref="N42:N50" si="27">S20/((1+$I$7)^$B20)</f>
        <v>356.59428787488815</v>
      </c>
      <c r="O42" s="166">
        <f>O41+N42</f>
        <v>1760.4240848236755</v>
      </c>
      <c r="P42" s="166">
        <f>N20*$E$7</f>
        <v>470.67632239921676</v>
      </c>
      <c r="Q42" s="166">
        <f t="shared" ref="Q42:Q50" si="28">P42/((1+$M$7)^$B42)</f>
        <v>373.53081761497032</v>
      </c>
      <c r="R42" s="166">
        <f>R41+Q42</f>
        <v>738.63584332870244</v>
      </c>
      <c r="S42" s="168">
        <f>S20</f>
        <v>493.91646949800815</v>
      </c>
      <c r="T42" s="168">
        <f t="shared" si="24"/>
        <v>354.72311799627136</v>
      </c>
      <c r="U42" s="168">
        <f>U41+T42</f>
        <v>1754.864887512397</v>
      </c>
      <c r="V42" s="170">
        <f t="shared" ref="V42:V50" si="29">S20</f>
        <v>493.91646949800815</v>
      </c>
      <c r="W42" s="168">
        <f t="shared" ref="W42:W50" si="30">V42/((1+$E$8)^$B42)</f>
        <v>354.72311799627136</v>
      </c>
      <c r="X42" s="170">
        <f>X41+W42</f>
        <v>1754.864887512397</v>
      </c>
      <c r="Y42" s="172">
        <f t="shared" ref="Y42:Y50" si="31">S20</f>
        <v>493.91646949800815</v>
      </c>
      <c r="Z42" s="172">
        <f t="shared" ref="Z42:Z50" si="32">Y42/((1+$E$8)^B42)</f>
        <v>354.72311799627136</v>
      </c>
      <c r="AA42" s="166">
        <f>AA41+Z42</f>
        <v>1754.864887512397</v>
      </c>
    </row>
    <row r="43" spans="1:32" x14ac:dyDescent="0.25">
      <c r="B43">
        <f t="shared" ref="B43:B50" si="33">B42+1</f>
        <v>3</v>
      </c>
      <c r="C43" s="243">
        <f>C21</f>
        <v>2020</v>
      </c>
      <c r="D43" s="162">
        <f>U21</f>
        <v>1178.6925410669194</v>
      </c>
      <c r="E43" s="163">
        <f t="shared" si="23"/>
        <v>717.38866989012968</v>
      </c>
      <c r="F43" s="163">
        <f t="shared" ref="F43:F50" si="34">F42+E43</f>
        <v>1126.0077409775699</v>
      </c>
      <c r="G43" s="164">
        <f>S21</f>
        <v>2828.4937515691818</v>
      </c>
      <c r="H43" s="164">
        <f t="shared" si="25"/>
        <v>1721.5086203854714</v>
      </c>
      <c r="I43" s="164">
        <f t="shared" ref="I43:I50" si="35">I42+H43</f>
        <v>3476.3735078978684</v>
      </c>
      <c r="J43" s="165">
        <f>S21</f>
        <v>2828.4937515691818</v>
      </c>
      <c r="K43" s="165">
        <f t="shared" si="26"/>
        <v>1721.5086203854714</v>
      </c>
      <c r="L43" s="165">
        <f t="shared" ref="L43:L50" si="36">L42+K43</f>
        <v>3476.3735078978684</v>
      </c>
      <c r="M43" s="166">
        <f>S21</f>
        <v>2828.4937515691818</v>
      </c>
      <c r="N43" s="166">
        <f t="shared" si="27"/>
        <v>1735.1480444940325</v>
      </c>
      <c r="O43" s="166">
        <f>O42+N43</f>
        <v>3495.572129317708</v>
      </c>
      <c r="P43" s="166">
        <f>N21*$E$7</f>
        <v>568.21894098136863</v>
      </c>
      <c r="Q43" s="166">
        <f t="shared" si="28"/>
        <v>401.71850415606514</v>
      </c>
      <c r="R43" s="166">
        <f t="shared" ref="R43:R50" si="37">R42+Q43</f>
        <v>1140.3543474847675</v>
      </c>
      <c r="S43" s="168">
        <f>S21</f>
        <v>2828.4937515691818</v>
      </c>
      <c r="T43" s="168">
        <f t="shared" si="24"/>
        <v>1721.5086203854714</v>
      </c>
      <c r="U43" s="168">
        <f>U42+T43</f>
        <v>3476.3735078978684</v>
      </c>
      <c r="V43" s="170">
        <f t="shared" si="29"/>
        <v>2828.4937515691818</v>
      </c>
      <c r="W43" s="168">
        <f t="shared" si="30"/>
        <v>1721.5086203854714</v>
      </c>
      <c r="X43" s="170">
        <f t="shared" ref="X43:X50" si="38">X42+W43</f>
        <v>3476.3735078978684</v>
      </c>
      <c r="Y43" s="172">
        <f t="shared" si="31"/>
        <v>2828.4937515691818</v>
      </c>
      <c r="Z43" s="172">
        <f t="shared" si="32"/>
        <v>1721.5086203854714</v>
      </c>
      <c r="AA43" s="166">
        <f t="shared" ref="AA43:AA50" si="39">AA42+Z43</f>
        <v>3476.3735078978684</v>
      </c>
    </row>
    <row r="44" spans="1:32" x14ac:dyDescent="0.25">
      <c r="B44">
        <f t="shared" si="33"/>
        <v>4</v>
      </c>
      <c r="C44" s="243">
        <f>C22</f>
        <v>2021</v>
      </c>
      <c r="D44" s="162">
        <f>U22</f>
        <v>2193.2289640621557</v>
      </c>
      <c r="E44" s="163">
        <f t="shared" si="23"/>
        <v>1131.2431003242766</v>
      </c>
      <c r="F44" s="163">
        <f t="shared" si="34"/>
        <v>2257.2508413018468</v>
      </c>
      <c r="G44" s="164">
        <f>S22</f>
        <v>5497.000857657782</v>
      </c>
      <c r="H44" s="164">
        <f t="shared" si="25"/>
        <v>2835.2918890805636</v>
      </c>
      <c r="I44" s="164">
        <f t="shared" si="35"/>
        <v>6311.665396978432</v>
      </c>
      <c r="J44" s="165">
        <f>S22</f>
        <v>5497.000857657782</v>
      </c>
      <c r="K44" s="165">
        <f t="shared" si="26"/>
        <v>2835.2918890805636</v>
      </c>
      <c r="L44" s="165">
        <f t="shared" si="36"/>
        <v>6311.665396978432</v>
      </c>
      <c r="M44" s="166">
        <f>S22</f>
        <v>5497.000857657782</v>
      </c>
      <c r="N44" s="166">
        <f t="shared" si="27"/>
        <v>2865.2831995598658</v>
      </c>
      <c r="O44" s="166">
        <f>O43+N44</f>
        <v>6360.8553288775738</v>
      </c>
      <c r="P44" s="166">
        <f>N22*$E$7</f>
        <v>661.42496284295044</v>
      </c>
      <c r="Q44" s="166">
        <f t="shared" si="28"/>
        <v>416.57073408564719</v>
      </c>
      <c r="R44" s="166">
        <f t="shared" si="37"/>
        <v>1556.9250815704147</v>
      </c>
      <c r="S44" s="168">
        <f>S22</f>
        <v>5497.000857657782</v>
      </c>
      <c r="T44" s="168">
        <f>S44/((1+$E$8)^$B44)</f>
        <v>2835.2918890805636</v>
      </c>
      <c r="U44" s="168">
        <f>U43+T44</f>
        <v>6311.665396978432</v>
      </c>
      <c r="V44" s="170">
        <f t="shared" si="29"/>
        <v>5497.000857657782</v>
      </c>
      <c r="W44" s="168">
        <f t="shared" si="30"/>
        <v>2835.2918890805636</v>
      </c>
      <c r="X44" s="170">
        <f t="shared" si="38"/>
        <v>6311.665396978432</v>
      </c>
      <c r="Y44" s="172">
        <f t="shared" si="31"/>
        <v>5497.000857657782</v>
      </c>
      <c r="Z44" s="172">
        <f t="shared" si="32"/>
        <v>2835.2918890805636</v>
      </c>
      <c r="AA44" s="166">
        <f t="shared" si="39"/>
        <v>6311.665396978432</v>
      </c>
    </row>
    <row r="45" spans="1:32" x14ac:dyDescent="0.25">
      <c r="B45">
        <f t="shared" si="33"/>
        <v>5</v>
      </c>
      <c r="C45" s="243">
        <f t="shared" ref="C45:C49" si="40">C23</f>
        <v>2022</v>
      </c>
      <c r="D45" s="162">
        <f t="shared" ref="D45:D49" si="41">U23</f>
        <v>3590.3901240967466</v>
      </c>
      <c r="E45" s="163">
        <f t="shared" si="23"/>
        <v>1569.3926131055082</v>
      </c>
      <c r="F45" s="163">
        <f t="shared" si="34"/>
        <v>3826.643454407355</v>
      </c>
      <c r="G45" s="164">
        <f t="shared" ref="G45:G50" si="42">S23</f>
        <v>8892.1551257595365</v>
      </c>
      <c r="H45" s="164">
        <f t="shared" si="25"/>
        <v>3886.8429576204071</v>
      </c>
      <c r="I45" s="164">
        <f t="shared" si="35"/>
        <v>10198.508354598838</v>
      </c>
      <c r="J45" s="165">
        <f t="shared" ref="J45:J49" si="43">S23</f>
        <v>8892.1551257595365</v>
      </c>
      <c r="K45" s="165">
        <f t="shared" si="26"/>
        <v>3886.8429576204071</v>
      </c>
      <c r="L45" s="165">
        <f t="shared" si="36"/>
        <v>10198.508354598838</v>
      </c>
      <c r="M45" s="166">
        <f t="shared" ref="M45:M50" si="44">S23</f>
        <v>8892.1551257595365</v>
      </c>
      <c r="N45" s="166">
        <f t="shared" si="27"/>
        <v>3938.3038156892858</v>
      </c>
      <c r="O45" s="166">
        <f t="shared" ref="O45:O50" si="45">O44+N45</f>
        <v>10299.15914456686</v>
      </c>
      <c r="P45" s="166">
        <f t="shared" ref="P45:P50" si="46">N23*$E$7</f>
        <v>749.78909028745977</v>
      </c>
      <c r="Q45" s="166">
        <f t="shared" si="28"/>
        <v>420.6775485808833</v>
      </c>
      <c r="R45" s="166">
        <f t="shared" si="37"/>
        <v>1977.6026301512979</v>
      </c>
      <c r="S45" s="168">
        <f t="shared" ref="S45:S50" si="47">S23</f>
        <v>8892.1551257595365</v>
      </c>
      <c r="T45" s="168">
        <f t="shared" ref="T45:T50" si="48">S45/((1+$E$8)^$B45)</f>
        <v>3886.8429576204071</v>
      </c>
      <c r="U45" s="168">
        <f t="shared" ref="U45:U50" si="49">U44+T45</f>
        <v>10198.508354598838</v>
      </c>
      <c r="V45" s="170">
        <f t="shared" si="29"/>
        <v>8892.1551257595365</v>
      </c>
      <c r="W45" s="168">
        <f t="shared" si="30"/>
        <v>3886.8429576204071</v>
      </c>
      <c r="X45" s="170">
        <f t="shared" si="38"/>
        <v>10198.508354598838</v>
      </c>
      <c r="Y45" s="172">
        <f t="shared" si="31"/>
        <v>8892.1551257595365</v>
      </c>
      <c r="Z45" s="172">
        <f t="shared" si="32"/>
        <v>3886.8429576204071</v>
      </c>
      <c r="AA45" s="166">
        <f t="shared" si="39"/>
        <v>10198.508354598838</v>
      </c>
    </row>
    <row r="46" spans="1:32" x14ac:dyDescent="0.25">
      <c r="B46">
        <f t="shared" si="33"/>
        <v>6</v>
      </c>
      <c r="C46" s="243">
        <f t="shared" si="40"/>
        <v>2023</v>
      </c>
      <c r="D46" s="162">
        <f t="shared" si="41"/>
        <v>5414.0693420256985</v>
      </c>
      <c r="E46" s="163">
        <f t="shared" si="23"/>
        <v>2005.5420395849221</v>
      </c>
      <c r="F46" s="163">
        <f t="shared" si="34"/>
        <v>5832.1854939922769</v>
      </c>
      <c r="G46" s="164">
        <f t="shared" si="42"/>
        <v>12877.514925580628</v>
      </c>
      <c r="H46" s="164">
        <f t="shared" si="25"/>
        <v>4770.2376746750688</v>
      </c>
      <c r="I46" s="164">
        <f t="shared" si="35"/>
        <v>14968.746029273907</v>
      </c>
      <c r="J46" s="165">
        <f t="shared" si="43"/>
        <v>12877.514925580628</v>
      </c>
      <c r="K46" s="165">
        <f t="shared" si="26"/>
        <v>4770.2376746750688</v>
      </c>
      <c r="L46" s="165">
        <f t="shared" si="36"/>
        <v>14968.746029273907</v>
      </c>
      <c r="M46" s="166">
        <f t="shared" si="44"/>
        <v>12877.514925580628</v>
      </c>
      <c r="N46" s="166">
        <f t="shared" si="27"/>
        <v>4846.1258120170987</v>
      </c>
      <c r="O46" s="166">
        <f t="shared" si="45"/>
        <v>15145.284956583959</v>
      </c>
      <c r="P46" s="166">
        <f t="shared" si="46"/>
        <v>827.76660501488675</v>
      </c>
      <c r="Q46" s="166">
        <f t="shared" si="28"/>
        <v>413.73300016744577</v>
      </c>
      <c r="R46" s="166">
        <f t="shared" si="37"/>
        <v>2391.3356303187438</v>
      </c>
      <c r="S46" s="168">
        <f t="shared" si="47"/>
        <v>12877.514925580628</v>
      </c>
      <c r="T46" s="168">
        <f t="shared" si="48"/>
        <v>4770.2376746750688</v>
      </c>
      <c r="U46" s="168">
        <f t="shared" si="49"/>
        <v>14968.746029273907</v>
      </c>
      <c r="V46" s="170">
        <f t="shared" si="29"/>
        <v>12877.514925580628</v>
      </c>
      <c r="W46" s="168">
        <f t="shared" si="30"/>
        <v>4770.2376746750688</v>
      </c>
      <c r="X46" s="170">
        <f t="shared" si="38"/>
        <v>14968.746029273907</v>
      </c>
      <c r="Y46" s="172">
        <f t="shared" si="31"/>
        <v>12877.514925580628</v>
      </c>
      <c r="Z46" s="172">
        <f t="shared" si="32"/>
        <v>4770.2376746750688</v>
      </c>
      <c r="AA46" s="166">
        <f t="shared" si="39"/>
        <v>14968.746029273907</v>
      </c>
    </row>
    <row r="47" spans="1:32" x14ac:dyDescent="0.25">
      <c r="B47">
        <f t="shared" si="33"/>
        <v>7</v>
      </c>
      <c r="C47" s="243">
        <f t="shared" si="40"/>
        <v>2024</v>
      </c>
      <c r="D47" s="162">
        <f t="shared" si="41"/>
        <v>7660.4217649811708</v>
      </c>
      <c r="E47" s="163">
        <f t="shared" si="23"/>
        <v>2404.7981569130038</v>
      </c>
      <c r="F47" s="163">
        <f t="shared" si="34"/>
        <v>8236.9836509052802</v>
      </c>
      <c r="G47" s="164">
        <f t="shared" si="42"/>
        <v>17598.017387187869</v>
      </c>
      <c r="H47" s="164">
        <f t="shared" si="25"/>
        <v>5524.4581925622479</v>
      </c>
      <c r="I47" s="164">
        <f t="shared" si="35"/>
        <v>20493.204221836153</v>
      </c>
      <c r="J47" s="165">
        <f t="shared" si="43"/>
        <v>17598.017387187869</v>
      </c>
      <c r="K47" s="165">
        <f t="shared" si="26"/>
        <v>5524.4581925622479</v>
      </c>
      <c r="L47" s="165">
        <f t="shared" si="36"/>
        <v>20493.204221836153</v>
      </c>
      <c r="M47" s="166">
        <f t="shared" si="44"/>
        <v>17598.017387187869</v>
      </c>
      <c r="N47" s="166">
        <f t="shared" si="27"/>
        <v>5627.1281084528264</v>
      </c>
      <c r="O47" s="166">
        <f t="shared" si="45"/>
        <v>20772.413065036784</v>
      </c>
      <c r="P47" s="166">
        <f t="shared" si="46"/>
        <v>891.41538403309914</v>
      </c>
      <c r="Q47" s="166">
        <f t="shared" si="28"/>
        <v>396.9121828387029</v>
      </c>
      <c r="R47" s="166">
        <f t="shared" si="37"/>
        <v>2788.2478131574467</v>
      </c>
      <c r="S47" s="168">
        <f t="shared" si="47"/>
        <v>17598.017387187869</v>
      </c>
      <c r="T47" s="168">
        <f t="shared" si="48"/>
        <v>5524.4581925622479</v>
      </c>
      <c r="U47" s="168">
        <f t="shared" si="49"/>
        <v>20493.204221836153</v>
      </c>
      <c r="V47" s="170">
        <f t="shared" si="29"/>
        <v>17598.017387187869</v>
      </c>
      <c r="W47" s="168">
        <f t="shared" si="30"/>
        <v>5524.4581925622479</v>
      </c>
      <c r="X47" s="170">
        <f t="shared" si="38"/>
        <v>20493.204221836153</v>
      </c>
      <c r="Y47" s="172">
        <f t="shared" si="31"/>
        <v>17598.017387187869</v>
      </c>
      <c r="Z47" s="172">
        <f t="shared" si="32"/>
        <v>5524.4581925622479</v>
      </c>
      <c r="AA47" s="166">
        <f t="shared" si="39"/>
        <v>20493.204221836153</v>
      </c>
    </row>
    <row r="48" spans="1:32" x14ac:dyDescent="0.25">
      <c r="B48">
        <f t="shared" si="33"/>
        <v>8</v>
      </c>
      <c r="C48" s="243">
        <f t="shared" si="40"/>
        <v>2025</v>
      </c>
      <c r="D48" s="162">
        <f t="shared" si="41"/>
        <v>10288.552286495726</v>
      </c>
      <c r="E48" s="163">
        <f t="shared" si="23"/>
        <v>2737.147557744609</v>
      </c>
      <c r="F48" s="163">
        <f t="shared" si="34"/>
        <v>10974.131208649889</v>
      </c>
      <c r="G48" s="164">
        <f t="shared" si="42"/>
        <v>22698.661918244579</v>
      </c>
      <c r="H48" s="164">
        <f t="shared" si="25"/>
        <v>6038.7103358693248</v>
      </c>
      <c r="I48" s="164">
        <f t="shared" si="35"/>
        <v>26531.914557705477</v>
      </c>
      <c r="J48" s="165">
        <f t="shared" si="43"/>
        <v>22698.661918244579</v>
      </c>
      <c r="K48" s="165">
        <f t="shared" si="26"/>
        <v>6038.7103358693248</v>
      </c>
      <c r="L48" s="165">
        <f t="shared" si="36"/>
        <v>26531.914557705477</v>
      </c>
      <c r="M48" s="166">
        <f t="shared" si="44"/>
        <v>22698.661918244579</v>
      </c>
      <c r="N48" s="166">
        <f t="shared" si="27"/>
        <v>6167.1392351390223</v>
      </c>
      <c r="O48" s="166">
        <f t="shared" si="45"/>
        <v>26939.552300175805</v>
      </c>
      <c r="P48" s="166">
        <f t="shared" si="46"/>
        <v>933.907697554469</v>
      </c>
      <c r="Q48" s="166">
        <f t="shared" si="28"/>
        <v>370.44207057082133</v>
      </c>
      <c r="R48" s="166">
        <f t="shared" si="37"/>
        <v>3158.6898837282679</v>
      </c>
      <c r="S48" s="168">
        <f t="shared" si="47"/>
        <v>22698.661918244579</v>
      </c>
      <c r="T48" s="168">
        <f t="shared" si="48"/>
        <v>6038.7103358693248</v>
      </c>
      <c r="U48" s="168">
        <f t="shared" si="49"/>
        <v>26531.914557705477</v>
      </c>
      <c r="V48" s="170">
        <f t="shared" si="29"/>
        <v>22698.661918244579</v>
      </c>
      <c r="W48" s="168">
        <f t="shared" si="30"/>
        <v>6038.7103358693248</v>
      </c>
      <c r="X48" s="170">
        <f t="shared" si="38"/>
        <v>26531.914557705477</v>
      </c>
      <c r="Y48" s="172">
        <f t="shared" si="31"/>
        <v>22698.661918244579</v>
      </c>
      <c r="Z48" s="172">
        <f t="shared" si="32"/>
        <v>6038.7103358693248</v>
      </c>
      <c r="AA48" s="166">
        <f t="shared" si="39"/>
        <v>26531.914557705477</v>
      </c>
    </row>
    <row r="49" spans="2:28" x14ac:dyDescent="0.25">
      <c r="B49">
        <f t="shared" si="33"/>
        <v>9</v>
      </c>
      <c r="C49" s="243">
        <f t="shared" si="40"/>
        <v>2026</v>
      </c>
      <c r="D49" s="162">
        <f t="shared" si="41"/>
        <v>13210.727921408183</v>
      </c>
      <c r="E49" s="163">
        <f t="shared" si="23"/>
        <v>2978.4388116565606</v>
      </c>
      <c r="F49" s="163">
        <f t="shared" si="34"/>
        <v>13952.57002030645</v>
      </c>
      <c r="G49" s="164">
        <f t="shared" si="42"/>
        <v>27900.463786673128</v>
      </c>
      <c r="H49" s="164">
        <f t="shared" si="25"/>
        <v>6290.3289432508182</v>
      </c>
      <c r="I49" s="164">
        <f t="shared" si="35"/>
        <v>32822.243500956298</v>
      </c>
      <c r="J49" s="165">
        <f t="shared" si="43"/>
        <v>27900.463786673128</v>
      </c>
      <c r="K49" s="165">
        <f t="shared" si="26"/>
        <v>6290.3289432508182</v>
      </c>
      <c r="L49" s="165">
        <f t="shared" si="36"/>
        <v>32822.243500956298</v>
      </c>
      <c r="M49" s="166">
        <f t="shared" si="44"/>
        <v>27900.463786673128</v>
      </c>
      <c r="N49" s="166">
        <f t="shared" si="27"/>
        <v>6441.030518749807</v>
      </c>
      <c r="O49" s="166">
        <f t="shared" si="45"/>
        <v>33380.582818925614</v>
      </c>
      <c r="P49" s="166">
        <f t="shared" si="46"/>
        <v>951.57847888160654</v>
      </c>
      <c r="Q49" s="166">
        <f t="shared" si="28"/>
        <v>336.25054960861127</v>
      </c>
      <c r="R49" s="166">
        <f t="shared" si="37"/>
        <v>3494.9404333368793</v>
      </c>
      <c r="S49" s="168">
        <f t="shared" si="47"/>
        <v>27900.463786673128</v>
      </c>
      <c r="T49" s="168">
        <f t="shared" si="48"/>
        <v>6290.3289432508182</v>
      </c>
      <c r="U49" s="168">
        <f t="shared" si="49"/>
        <v>32822.243500956298</v>
      </c>
      <c r="V49" s="170">
        <f t="shared" si="29"/>
        <v>27900.463786673128</v>
      </c>
      <c r="W49" s="168">
        <f t="shared" si="30"/>
        <v>6290.3289432508182</v>
      </c>
      <c r="X49" s="170">
        <f t="shared" si="38"/>
        <v>32822.243500956298</v>
      </c>
      <c r="Y49" s="172">
        <f t="shared" si="31"/>
        <v>27900.463786673128</v>
      </c>
      <c r="Z49" s="172">
        <f t="shared" si="32"/>
        <v>6290.3289432508182</v>
      </c>
      <c r="AA49" s="166">
        <f t="shared" si="39"/>
        <v>32822.243500956298</v>
      </c>
    </row>
    <row r="50" spans="2:28" x14ac:dyDescent="0.25">
      <c r="B50">
        <f t="shared" si="33"/>
        <v>10</v>
      </c>
      <c r="C50" s="243">
        <f>C28</f>
        <v>2027</v>
      </c>
      <c r="D50" s="162">
        <f>U28</f>
        <v>16293.825929133778</v>
      </c>
      <c r="E50" s="163">
        <f>D50/((1+$E$8)^B50)</f>
        <v>3113.1711651330343</v>
      </c>
      <c r="F50" s="163">
        <f t="shared" si="34"/>
        <v>17065.741185439485</v>
      </c>
      <c r="G50" s="164">
        <f t="shared" si="42"/>
        <v>32880.002377957971</v>
      </c>
      <c r="H50" s="164">
        <f>G50/((1+$E$8)^B50)</f>
        <v>6282.2001264626333</v>
      </c>
      <c r="I50" s="164">
        <f t="shared" si="35"/>
        <v>39104.443627418928</v>
      </c>
      <c r="J50" s="165">
        <f>S28</f>
        <v>32880.002377957971</v>
      </c>
      <c r="K50" s="165">
        <f t="shared" si="26"/>
        <v>6282.2001264626333</v>
      </c>
      <c r="L50" s="165">
        <f t="shared" si="36"/>
        <v>39104.443627418928</v>
      </c>
      <c r="M50" s="166">
        <f t="shared" si="44"/>
        <v>32880.002377957971</v>
      </c>
      <c r="N50" s="166">
        <f t="shared" si="27"/>
        <v>6449.6509527812877</v>
      </c>
      <c r="O50" s="166">
        <f t="shared" si="45"/>
        <v>39830.233771706902</v>
      </c>
      <c r="P50" s="166">
        <f t="shared" si="46"/>
        <v>942.67596846411607</v>
      </c>
      <c r="Q50" s="166">
        <f t="shared" si="28"/>
        <v>296.74463154301759</v>
      </c>
      <c r="R50" s="166">
        <f t="shared" si="37"/>
        <v>3791.6850648798968</v>
      </c>
      <c r="S50" s="168">
        <f t="shared" si="47"/>
        <v>32880.002377957971</v>
      </c>
      <c r="T50" s="168">
        <f t="shared" si="48"/>
        <v>6282.2001264626333</v>
      </c>
      <c r="U50" s="168">
        <f t="shared" si="49"/>
        <v>39104.443627418928</v>
      </c>
      <c r="V50" s="170">
        <f t="shared" si="29"/>
        <v>32880.002377957971</v>
      </c>
      <c r="W50" s="168">
        <f t="shared" si="30"/>
        <v>6282.2001264626333</v>
      </c>
      <c r="X50" s="170">
        <f t="shared" si="38"/>
        <v>39104.443627418928</v>
      </c>
      <c r="Y50" s="172">
        <f t="shared" si="31"/>
        <v>32880.002377957971</v>
      </c>
      <c r="Z50" s="172">
        <f t="shared" si="32"/>
        <v>6282.2001264626333</v>
      </c>
      <c r="AA50" s="166">
        <f t="shared" si="39"/>
        <v>39104.443627418928</v>
      </c>
    </row>
    <row r="51" spans="2:28" x14ac:dyDescent="0.25">
      <c r="C51" s="243">
        <f>C29</f>
        <v>2028</v>
      </c>
      <c r="D51" s="162">
        <f>U29</f>
        <v>17693.183593589147</v>
      </c>
      <c r="E51" s="162"/>
      <c r="F51" s="94"/>
      <c r="G51" s="164">
        <f>S29</f>
        <v>28765.634740134195</v>
      </c>
      <c r="H51" s="164"/>
      <c r="I51" s="164"/>
      <c r="J51" s="165">
        <f>S29</f>
        <v>28765.634740134195</v>
      </c>
      <c r="K51" s="165"/>
      <c r="L51" s="165"/>
      <c r="M51" s="166">
        <f>S29</f>
        <v>28765.634740134195</v>
      </c>
      <c r="N51" s="167"/>
      <c r="O51" s="167"/>
      <c r="P51" s="166">
        <f>N29*$E$7</f>
        <v>907.63790107561147</v>
      </c>
      <c r="Q51" s="167"/>
      <c r="R51" s="167"/>
      <c r="S51" s="168">
        <f>S29</f>
        <v>28765.634740134195</v>
      </c>
      <c r="T51" s="169"/>
      <c r="U51" s="169"/>
      <c r="V51" s="170">
        <f>S29</f>
        <v>28765.634740134195</v>
      </c>
      <c r="W51" s="171"/>
      <c r="X51" s="171"/>
      <c r="Y51" s="172">
        <f>S29</f>
        <v>28765.634740134195</v>
      </c>
      <c r="Z51" s="173"/>
      <c r="AA51" s="173"/>
    </row>
    <row r="52" spans="2:28" x14ac:dyDescent="0.25">
      <c r="C52" s="92"/>
      <c r="D52" s="93"/>
      <c r="E52" s="93"/>
      <c r="F52" s="10"/>
      <c r="G52" s="107"/>
      <c r="H52" s="107"/>
      <c r="I52" s="107"/>
      <c r="J52" s="108"/>
      <c r="K52" s="108"/>
      <c r="L52" s="108"/>
      <c r="M52" s="109"/>
      <c r="N52" s="109"/>
      <c r="O52" s="109"/>
      <c r="P52" s="109"/>
      <c r="Q52" s="109"/>
      <c r="R52" s="109"/>
      <c r="S52" s="111"/>
      <c r="T52" s="111"/>
      <c r="U52" s="111"/>
      <c r="V52" s="112"/>
      <c r="W52" s="112"/>
      <c r="X52" s="112"/>
      <c r="Y52" s="113"/>
      <c r="Z52" s="113"/>
      <c r="AA52" s="113"/>
    </row>
    <row r="53" spans="2:28" ht="30" customHeight="1" x14ac:dyDescent="0.35">
      <c r="C53" s="92"/>
      <c r="D53" s="10"/>
      <c r="E53" s="114" t="s">
        <v>157</v>
      </c>
      <c r="F53" s="174">
        <f>F50</f>
        <v>17065.741185439485</v>
      </c>
      <c r="G53" s="115"/>
      <c r="H53" s="116" t="s">
        <v>136</v>
      </c>
      <c r="I53" s="175">
        <f>I50</f>
        <v>39104.443627418928</v>
      </c>
      <c r="J53" s="117"/>
      <c r="K53" s="118" t="s">
        <v>151</v>
      </c>
      <c r="L53" s="176">
        <f>L50</f>
        <v>39104.443627418928</v>
      </c>
      <c r="M53" s="119"/>
      <c r="N53" s="120" t="s">
        <v>140</v>
      </c>
      <c r="O53" s="177">
        <f>O50</f>
        <v>39830.233771706902</v>
      </c>
      <c r="P53" s="119"/>
      <c r="Q53" s="120" t="s">
        <v>152</v>
      </c>
      <c r="R53" s="177">
        <f>R50</f>
        <v>3791.6850648798968</v>
      </c>
      <c r="S53" s="201" t="s">
        <v>247</v>
      </c>
      <c r="T53" s="122" t="s">
        <v>153</v>
      </c>
      <c r="U53" s="178">
        <f>U50</f>
        <v>39104.443627418928</v>
      </c>
      <c r="V53" s="148" t="s">
        <v>248</v>
      </c>
      <c r="W53" s="123" t="s">
        <v>155</v>
      </c>
      <c r="X53" s="179">
        <f>X50</f>
        <v>39104.443627418928</v>
      </c>
      <c r="Y53" s="149" t="s">
        <v>154</v>
      </c>
      <c r="Z53" s="124" t="s">
        <v>156</v>
      </c>
      <c r="AA53" s="180">
        <f>AA50</f>
        <v>39104.443627418928</v>
      </c>
    </row>
    <row r="54" spans="2:28" ht="18" x14ac:dyDescent="0.35">
      <c r="D54" s="10"/>
      <c r="E54" s="114" t="s">
        <v>165</v>
      </c>
      <c r="F54" s="174">
        <f>(O28*(T29-E8))/(E8-E4)+O28</f>
        <v>209278.31454461702</v>
      </c>
      <c r="G54" s="115"/>
      <c r="H54" s="116" t="s">
        <v>158</v>
      </c>
      <c r="I54" s="175">
        <f>(G51)/(E8-E4)</f>
        <v>221274.11338564765</v>
      </c>
      <c r="J54" s="117"/>
      <c r="K54" s="118" t="s">
        <v>159</v>
      </c>
      <c r="L54" s="176">
        <f>(P29*(1-(E4/T29)))/(E8-E4)</f>
        <v>219742.23027184789</v>
      </c>
      <c r="M54" s="119"/>
      <c r="N54" s="120" t="s">
        <v>160</v>
      </c>
      <c r="O54" s="177">
        <f>(M51)/(E8-E4)</f>
        <v>221274.11338564765</v>
      </c>
      <c r="P54" s="119"/>
      <c r="Q54" s="120" t="s">
        <v>161</v>
      </c>
      <c r="R54" s="177">
        <f>(P51)/(M7-E4)</f>
        <v>12513.965270586123</v>
      </c>
      <c r="S54" s="110">
        <f>'Financial Stmt'!Q60</f>
        <v>5.9212444794377603</v>
      </c>
      <c r="T54" s="122" t="s">
        <v>162</v>
      </c>
      <c r="U54" s="178">
        <f>M29*'Financial Stmt'!Q60</f>
        <v>293806.14760976285</v>
      </c>
      <c r="V54" s="125">
        <f>S54*(1-V56)</f>
        <v>5.3291200314939848</v>
      </c>
      <c r="W54" s="123" t="s">
        <v>163</v>
      </c>
      <c r="X54" s="179">
        <f>V54*M29</f>
        <v>264425.53284878662</v>
      </c>
      <c r="Y54" s="126">
        <f>S54*(1+Y56)</f>
        <v>7.6976178232690886</v>
      </c>
      <c r="Z54" s="124" t="s">
        <v>164</v>
      </c>
      <c r="AA54" s="180">
        <f>Y54*M29</f>
        <v>381947.99189269176</v>
      </c>
    </row>
    <row r="55" spans="2:28" ht="18" x14ac:dyDescent="0.35">
      <c r="D55" s="10"/>
      <c r="E55" s="114" t="s">
        <v>173</v>
      </c>
      <c r="F55" s="174">
        <f>F54/((1+E8)^B50)</f>
        <v>39985.649605045182</v>
      </c>
      <c r="G55" s="115"/>
      <c r="H55" s="116" t="s">
        <v>166</v>
      </c>
      <c r="I55" s="175">
        <f>I54/((1+E8)^B50)</f>
        <v>42277.620515809547</v>
      </c>
      <c r="J55" s="117"/>
      <c r="K55" s="118" t="s">
        <v>167</v>
      </c>
      <c r="L55" s="176">
        <f>L54/((1+E8)^B50)</f>
        <v>41984.932085297442</v>
      </c>
      <c r="M55" s="119"/>
      <c r="N55" s="120" t="s">
        <v>168</v>
      </c>
      <c r="O55" s="177">
        <f>O54/((1+I7)^B50)</f>
        <v>43404.522293474678</v>
      </c>
      <c r="P55" s="119"/>
      <c r="Q55" s="120" t="s">
        <v>169</v>
      </c>
      <c r="R55" s="177">
        <f>R54/((1+M7)^B50)</f>
        <v>3939.2666595844739</v>
      </c>
      <c r="S55" s="121"/>
      <c r="T55" s="122" t="s">
        <v>170</v>
      </c>
      <c r="U55" s="178">
        <f>U54/((1+E8)^B28)</f>
        <v>56135.914968999532</v>
      </c>
      <c r="V55" s="202" t="s">
        <v>249</v>
      </c>
      <c r="W55" s="123" t="s">
        <v>171</v>
      </c>
      <c r="X55" s="179">
        <f>X54/((1+I7)^B28)</f>
        <v>51868.986208503869</v>
      </c>
      <c r="Y55" s="80" t="s">
        <v>250</v>
      </c>
      <c r="Z55" s="124" t="s">
        <v>172</v>
      </c>
      <c r="AA55" s="180">
        <f>AA54/((1+I7)^B28)</f>
        <v>74921.86896783892</v>
      </c>
    </row>
    <row r="56" spans="2:28" ht="18" x14ac:dyDescent="0.35">
      <c r="D56" s="10"/>
      <c r="E56" s="114" t="s">
        <v>181</v>
      </c>
      <c r="F56" s="174">
        <f>F53+F55</f>
        <v>57051.390790484671</v>
      </c>
      <c r="G56" s="115"/>
      <c r="H56" s="116" t="s">
        <v>174</v>
      </c>
      <c r="I56" s="175">
        <f>I53+I55</f>
        <v>81382.064143228476</v>
      </c>
      <c r="J56" s="117"/>
      <c r="K56" s="118" t="s">
        <v>175</v>
      </c>
      <c r="L56" s="176">
        <f>L55+L53</f>
        <v>81089.37571271637</v>
      </c>
      <c r="M56" s="119"/>
      <c r="N56" s="120" t="s">
        <v>176</v>
      </c>
      <c r="O56" s="177">
        <f>O53+O55</f>
        <v>83234.756065181573</v>
      </c>
      <c r="P56" s="119"/>
      <c r="Q56" s="120" t="s">
        <v>177</v>
      </c>
      <c r="R56" s="177">
        <f>R53+R55</f>
        <v>7730.9517244643703</v>
      </c>
      <c r="S56" s="121"/>
      <c r="T56" s="122" t="s">
        <v>178</v>
      </c>
      <c r="U56" s="178">
        <f>U53+U55</f>
        <v>95240.35859641846</v>
      </c>
      <c r="V56" s="203">
        <f>'VAL without adjust'!V56</f>
        <v>0.1</v>
      </c>
      <c r="W56" s="123" t="s">
        <v>179</v>
      </c>
      <c r="X56" s="179">
        <f>X53+X55</f>
        <v>90973.429835922798</v>
      </c>
      <c r="Y56" s="204">
        <f>'VAL without adjust'!Y56</f>
        <v>0.3</v>
      </c>
      <c r="Z56" s="124" t="s">
        <v>180</v>
      </c>
      <c r="AA56" s="180">
        <f>AA53+AA55</f>
        <v>114026.31259525786</v>
      </c>
    </row>
    <row r="57" spans="2:28" x14ac:dyDescent="0.25">
      <c r="D57" s="10"/>
      <c r="G57" s="196"/>
      <c r="H57" s="196"/>
      <c r="I57" s="196"/>
      <c r="J57" s="196"/>
      <c r="K57" s="196"/>
      <c r="L57" s="196"/>
      <c r="M57" s="119"/>
      <c r="N57" s="119"/>
      <c r="O57" s="119"/>
      <c r="P57" s="119"/>
      <c r="Q57" s="119"/>
      <c r="R57" s="119"/>
      <c r="S57" s="119"/>
      <c r="T57" s="196"/>
      <c r="U57" s="196"/>
      <c r="V57" s="196"/>
      <c r="W57" s="10"/>
      <c r="X57" s="10"/>
      <c r="Y57" s="10"/>
      <c r="Z57" s="10"/>
      <c r="AA57" s="10"/>
      <c r="AB57" s="10"/>
    </row>
    <row r="58" spans="2:28" x14ac:dyDescent="0.25">
      <c r="D58" s="10"/>
      <c r="E58" s="10"/>
      <c r="F58" s="196"/>
      <c r="G58" s="196"/>
      <c r="H58" s="196"/>
      <c r="I58" s="196"/>
      <c r="J58" s="196"/>
      <c r="K58" s="196"/>
      <c r="L58" s="196"/>
      <c r="M58" s="119"/>
      <c r="N58" s="119"/>
      <c r="O58" s="120" t="s">
        <v>182</v>
      </c>
      <c r="P58" s="177">
        <f>O56+R56</f>
        <v>90965.707789645938</v>
      </c>
      <c r="Q58" s="119"/>
      <c r="R58" s="119"/>
      <c r="S58" s="119"/>
      <c r="T58" s="196"/>
      <c r="U58" s="196"/>
      <c r="V58" s="196"/>
      <c r="W58" s="10"/>
      <c r="X58" s="10"/>
      <c r="Y58" s="10"/>
      <c r="Z58" s="10"/>
      <c r="AA58" s="10"/>
      <c r="AB58" s="10"/>
    </row>
    <row r="59" spans="2:28" x14ac:dyDescent="0.25">
      <c r="D59" s="10"/>
      <c r="E59" s="10"/>
      <c r="F59" s="196"/>
      <c r="G59" s="196"/>
      <c r="H59" s="196"/>
      <c r="I59" s="196"/>
      <c r="J59" s="196"/>
      <c r="K59" s="196"/>
      <c r="L59" s="196"/>
      <c r="M59" s="119"/>
      <c r="N59" s="119"/>
      <c r="O59" s="120"/>
      <c r="P59" s="177"/>
      <c r="Q59" s="119"/>
      <c r="R59" s="119"/>
      <c r="S59" s="119"/>
      <c r="T59" s="196"/>
      <c r="U59" s="196"/>
      <c r="V59" s="196"/>
      <c r="W59" s="10"/>
      <c r="X59" s="10"/>
      <c r="Y59" s="10"/>
      <c r="Z59" s="10"/>
      <c r="AA59" s="10"/>
      <c r="AB59" s="10"/>
    </row>
    <row r="60" spans="2:28" x14ac:dyDescent="0.25">
      <c r="D60" s="10"/>
      <c r="E60" s="10"/>
      <c r="F60" s="196"/>
      <c r="G60" s="196"/>
      <c r="H60" s="196"/>
      <c r="I60" s="196"/>
      <c r="J60" s="196"/>
      <c r="K60" s="196"/>
      <c r="L60" s="196"/>
      <c r="M60" s="119"/>
      <c r="N60" s="119"/>
      <c r="O60" s="120"/>
      <c r="P60" s="177"/>
      <c r="Q60" s="119"/>
      <c r="R60" s="119"/>
      <c r="S60" s="119"/>
      <c r="T60" s="196"/>
      <c r="U60" s="196"/>
      <c r="V60" s="196"/>
      <c r="W60" s="10"/>
      <c r="X60" s="10"/>
      <c r="Y60" s="10"/>
      <c r="Z60" s="10"/>
      <c r="AA60" s="10"/>
      <c r="AB60" s="10"/>
    </row>
    <row r="61" spans="2:28" x14ac:dyDescent="0.25">
      <c r="C61" s="297" t="s">
        <v>296</v>
      </c>
      <c r="D61" s="297"/>
      <c r="E61" s="297"/>
      <c r="F61" s="297"/>
      <c r="G61" s="297"/>
      <c r="H61" s="297"/>
      <c r="I61" s="297"/>
      <c r="J61" s="297"/>
      <c r="K61" s="297"/>
      <c r="L61" s="297"/>
      <c r="M61" s="297"/>
      <c r="N61" s="297"/>
      <c r="O61" s="297"/>
      <c r="P61" s="297"/>
      <c r="Q61" s="297"/>
      <c r="R61" s="297"/>
      <c r="S61" s="297"/>
      <c r="T61" s="297"/>
      <c r="U61" s="297"/>
      <c r="V61" s="297"/>
      <c r="W61" s="297"/>
      <c r="X61" s="297"/>
      <c r="Y61" s="297"/>
      <c r="Z61" s="297"/>
      <c r="AA61" s="297"/>
      <c r="AB61" s="10"/>
    </row>
    <row r="62" spans="2:28" x14ac:dyDescent="0.25">
      <c r="C62" s="199"/>
      <c r="D62" s="199"/>
      <c r="E62" s="199"/>
      <c r="F62" s="199"/>
      <c r="G62" s="199"/>
      <c r="H62" s="199"/>
      <c r="I62" s="199"/>
      <c r="J62" s="199"/>
      <c r="K62" s="199"/>
      <c r="L62" s="199"/>
      <c r="M62" s="199"/>
      <c r="N62" s="199"/>
      <c r="O62" s="199"/>
      <c r="P62" s="199"/>
      <c r="Q62" s="199"/>
      <c r="R62" s="199"/>
      <c r="S62" s="199"/>
      <c r="T62" s="199"/>
      <c r="U62" s="199"/>
      <c r="V62" s="199"/>
      <c r="W62" s="199"/>
      <c r="X62" s="199"/>
      <c r="Y62" s="199"/>
      <c r="Z62" s="199"/>
      <c r="AA62" s="199"/>
      <c r="AB62" s="10"/>
    </row>
    <row r="63" spans="2:28" x14ac:dyDescent="0.25">
      <c r="C63" s="199"/>
      <c r="D63" s="199"/>
      <c r="F63" s="199"/>
      <c r="K63" s="250" t="s">
        <v>297</v>
      </c>
      <c r="L63" s="249">
        <v>0.2</v>
      </c>
      <c r="N63" s="182" t="s">
        <v>298</v>
      </c>
      <c r="O63" s="274">
        <f>'Financial Stmt'!Q59</f>
        <v>50981.914967959114</v>
      </c>
      <c r="P63" s="199"/>
      <c r="Q63" s="250" t="s">
        <v>306</v>
      </c>
      <c r="R63" s="251">
        <f>'Financial Stmt'!Q59*(1+L63)</f>
        <v>61178.297961550932</v>
      </c>
      <c r="S63" s="199"/>
      <c r="T63" s="199"/>
      <c r="U63" s="199"/>
      <c r="V63" s="199"/>
      <c r="W63" s="199"/>
      <c r="X63" s="199"/>
      <c r="Y63" s="199"/>
      <c r="Z63" s="199"/>
      <c r="AA63" s="199"/>
      <c r="AB63" s="10"/>
    </row>
    <row r="65" spans="2:27" x14ac:dyDescent="0.25">
      <c r="D65" s="287" t="s">
        <v>303</v>
      </c>
      <c r="E65" s="287"/>
      <c r="F65" s="287"/>
      <c r="G65" s="296" t="s">
        <v>126</v>
      </c>
      <c r="H65" s="296"/>
      <c r="I65" s="296"/>
      <c r="J65" s="297" t="s">
        <v>130</v>
      </c>
      <c r="K65" s="297"/>
      <c r="L65" s="297"/>
      <c r="M65" s="271"/>
      <c r="N65" s="298" t="s">
        <v>182</v>
      </c>
      <c r="O65" s="298"/>
      <c r="P65" s="298"/>
      <c r="Q65" s="271"/>
      <c r="R65" s="271"/>
      <c r="S65" s="299" t="s">
        <v>293</v>
      </c>
      <c r="T65" s="299"/>
      <c r="U65" s="299"/>
      <c r="V65" s="300" t="s">
        <v>294</v>
      </c>
      <c r="W65" s="300"/>
      <c r="X65" s="300"/>
      <c r="Y65" s="301" t="s">
        <v>295</v>
      </c>
      <c r="Z65" s="301"/>
      <c r="AA65" s="301"/>
    </row>
    <row r="66" spans="2:27" ht="18" x14ac:dyDescent="0.35">
      <c r="C66" s="87"/>
      <c r="E66" s="85" t="s">
        <v>133</v>
      </c>
      <c r="G66" s="85"/>
      <c r="H66" s="86" t="s">
        <v>305</v>
      </c>
      <c r="I66" s="86"/>
      <c r="J66" s="86"/>
      <c r="K66" s="87" t="s">
        <v>305</v>
      </c>
      <c r="L66" s="87"/>
      <c r="M66" s="87"/>
      <c r="N66" s="88" t="s">
        <v>304</v>
      </c>
      <c r="O66" s="88" t="s">
        <v>126</v>
      </c>
      <c r="P66" s="88" t="s">
        <v>142</v>
      </c>
      <c r="R66" s="88"/>
      <c r="S66" s="88"/>
      <c r="T66" s="89" t="s">
        <v>305</v>
      </c>
      <c r="U66" s="89"/>
      <c r="V66" s="89"/>
      <c r="W66" s="90" t="s">
        <v>305</v>
      </c>
      <c r="X66" s="90"/>
      <c r="Y66" s="90"/>
      <c r="Z66" s="91" t="s">
        <v>305</v>
      </c>
      <c r="AA66" s="91"/>
    </row>
    <row r="67" spans="2:27" ht="30" x14ac:dyDescent="0.25">
      <c r="B67">
        <f t="shared" ref="B67:B77" si="50">B40</f>
        <v>0</v>
      </c>
      <c r="C67" s="181" t="s">
        <v>299</v>
      </c>
      <c r="E67" s="162">
        <f>-$R$63</f>
        <v>-61178.297961550932</v>
      </c>
      <c r="G67" s="162"/>
      <c r="H67" s="246">
        <f>-$R$63</f>
        <v>-61178.297961550932</v>
      </c>
      <c r="I67" s="246"/>
      <c r="J67" s="246"/>
      <c r="K67" s="165">
        <f>-$R$63</f>
        <v>-61178.297961550932</v>
      </c>
      <c r="L67" s="94"/>
      <c r="M67" s="94"/>
      <c r="N67" s="167">
        <f>-$R$63</f>
        <v>-61178.297961550932</v>
      </c>
      <c r="P67" s="167"/>
      <c r="R67" s="167"/>
      <c r="S67" s="167"/>
      <c r="T67" s="169">
        <f>-$R$63</f>
        <v>-61178.297961550932</v>
      </c>
      <c r="U67" s="169"/>
      <c r="V67" s="169"/>
      <c r="W67" s="171">
        <f>-$R$63</f>
        <v>-61178.297961550932</v>
      </c>
      <c r="X67" s="171"/>
      <c r="Y67" s="171"/>
      <c r="Z67" s="173">
        <f>-$R$63</f>
        <v>-61178.297961550932</v>
      </c>
      <c r="AA67" s="94"/>
    </row>
    <row r="68" spans="2:27" x14ac:dyDescent="0.25">
      <c r="B68">
        <f t="shared" si="50"/>
        <v>1</v>
      </c>
      <c r="C68">
        <f t="shared" ref="C68:C77" si="51">C41</f>
        <v>2018</v>
      </c>
      <c r="E68" s="162">
        <f t="shared" ref="E68:E76" si="52">D41</f>
        <v>65.658025828295692</v>
      </c>
      <c r="G68" s="162"/>
      <c r="H68" s="246">
        <f t="shared" ref="H68:H76" si="53">G41</f>
        <v>1652.167288029028</v>
      </c>
      <c r="I68" s="246"/>
      <c r="J68" s="246"/>
      <c r="K68" s="94">
        <f t="shared" ref="K68:K76" si="54">J41</f>
        <v>1652.167288029028</v>
      </c>
      <c r="L68" s="94"/>
      <c r="M68" s="94"/>
      <c r="N68" s="167">
        <f t="shared" ref="N68:N77" si="55">O68+P68</f>
        <v>2062.0086325434636</v>
      </c>
      <c r="O68" s="167">
        <f t="shared" ref="O68:O76" si="56">M41</f>
        <v>1652.167288029028</v>
      </c>
      <c r="P68" s="167">
        <f t="shared" ref="P68:P76" si="57">P41</f>
        <v>409.84134451443572</v>
      </c>
      <c r="R68" s="167"/>
      <c r="S68" s="167"/>
      <c r="T68" s="169">
        <f t="shared" ref="T68:T76" si="58">S41</f>
        <v>1652.167288029028</v>
      </c>
      <c r="U68" s="169"/>
      <c r="V68" s="169"/>
      <c r="W68" s="171">
        <f t="shared" ref="W68:W76" si="59">V41</f>
        <v>1652.167288029028</v>
      </c>
      <c r="X68" s="171"/>
      <c r="Y68" s="171"/>
      <c r="Z68" s="173">
        <f t="shared" ref="Z68:Z76" si="60">Y41</f>
        <v>1652.167288029028</v>
      </c>
      <c r="AA68" s="173"/>
    </row>
    <row r="69" spans="2:27" x14ac:dyDescent="0.25">
      <c r="B69">
        <f t="shared" si="50"/>
        <v>2</v>
      </c>
      <c r="C69">
        <f t="shared" si="51"/>
        <v>2019</v>
      </c>
      <c r="E69" s="162">
        <f t="shared" si="52"/>
        <v>491.48472410476285</v>
      </c>
      <c r="G69" s="162"/>
      <c r="H69" s="246">
        <f t="shared" si="53"/>
        <v>493.91646949800815</v>
      </c>
      <c r="I69" s="246"/>
      <c r="J69" s="246"/>
      <c r="K69" s="94">
        <f t="shared" si="54"/>
        <v>493.91646949800815</v>
      </c>
      <c r="L69" s="94"/>
      <c r="M69" s="94"/>
      <c r="N69" s="167">
        <f t="shared" si="55"/>
        <v>964.59279189722497</v>
      </c>
      <c r="O69" s="167">
        <f t="shared" si="56"/>
        <v>493.91646949800815</v>
      </c>
      <c r="P69" s="167">
        <f t="shared" si="57"/>
        <v>470.67632239921676</v>
      </c>
      <c r="R69" s="167"/>
      <c r="S69" s="167"/>
      <c r="T69" s="169">
        <f t="shared" si="58"/>
        <v>493.91646949800815</v>
      </c>
      <c r="U69" s="169"/>
      <c r="V69" s="169"/>
      <c r="W69" s="171">
        <f t="shared" si="59"/>
        <v>493.91646949800815</v>
      </c>
      <c r="X69" s="171"/>
      <c r="Y69" s="171"/>
      <c r="Z69" s="173">
        <f t="shared" si="60"/>
        <v>493.91646949800815</v>
      </c>
      <c r="AA69" s="173"/>
    </row>
    <row r="70" spans="2:27" x14ac:dyDescent="0.25">
      <c r="B70">
        <f t="shared" si="50"/>
        <v>3</v>
      </c>
      <c r="C70">
        <f t="shared" si="51"/>
        <v>2020</v>
      </c>
      <c r="E70" s="162">
        <f t="shared" si="52"/>
        <v>1178.6925410669194</v>
      </c>
      <c r="G70" s="162"/>
      <c r="H70" s="246">
        <f t="shared" si="53"/>
        <v>2828.4937515691818</v>
      </c>
      <c r="I70" s="246"/>
      <c r="J70" s="246"/>
      <c r="K70" s="94">
        <f t="shared" si="54"/>
        <v>2828.4937515691818</v>
      </c>
      <c r="L70" s="94"/>
      <c r="M70" s="94"/>
      <c r="N70" s="167">
        <f t="shared" si="55"/>
        <v>3396.7126925505504</v>
      </c>
      <c r="O70" s="167">
        <f t="shared" si="56"/>
        <v>2828.4937515691818</v>
      </c>
      <c r="P70" s="167">
        <f t="shared" si="57"/>
        <v>568.21894098136863</v>
      </c>
      <c r="R70" s="167"/>
      <c r="S70" s="167"/>
      <c r="T70" s="169">
        <f t="shared" si="58"/>
        <v>2828.4937515691818</v>
      </c>
      <c r="U70" s="169"/>
      <c r="V70" s="169"/>
      <c r="W70" s="171">
        <f t="shared" si="59"/>
        <v>2828.4937515691818</v>
      </c>
      <c r="X70" s="171"/>
      <c r="Y70" s="171"/>
      <c r="Z70" s="173">
        <f t="shared" si="60"/>
        <v>2828.4937515691818</v>
      </c>
      <c r="AA70" s="173"/>
    </row>
    <row r="71" spans="2:27" x14ac:dyDescent="0.25">
      <c r="B71">
        <f t="shared" si="50"/>
        <v>4</v>
      </c>
      <c r="C71">
        <f t="shared" si="51"/>
        <v>2021</v>
      </c>
      <c r="E71" s="162">
        <f t="shared" si="52"/>
        <v>2193.2289640621557</v>
      </c>
      <c r="G71" s="162"/>
      <c r="H71" s="246">
        <f t="shared" si="53"/>
        <v>5497.000857657782</v>
      </c>
      <c r="I71" s="246"/>
      <c r="J71" s="246"/>
      <c r="K71" s="94">
        <f t="shared" si="54"/>
        <v>5497.000857657782</v>
      </c>
      <c r="L71" s="94"/>
      <c r="M71" s="94"/>
      <c r="N71" s="167">
        <f t="shared" si="55"/>
        <v>6158.4258205007327</v>
      </c>
      <c r="O71" s="167">
        <f t="shared" si="56"/>
        <v>5497.000857657782</v>
      </c>
      <c r="P71" s="167">
        <f t="shared" si="57"/>
        <v>661.42496284295044</v>
      </c>
      <c r="R71" s="167"/>
      <c r="S71" s="167"/>
      <c r="T71" s="169">
        <f t="shared" si="58"/>
        <v>5497.000857657782</v>
      </c>
      <c r="U71" s="169"/>
      <c r="V71" s="169"/>
      <c r="W71" s="171">
        <f t="shared" si="59"/>
        <v>5497.000857657782</v>
      </c>
      <c r="X71" s="171"/>
      <c r="Y71" s="171"/>
      <c r="Z71" s="173">
        <f t="shared" si="60"/>
        <v>5497.000857657782</v>
      </c>
      <c r="AA71" s="173"/>
    </row>
    <row r="72" spans="2:27" x14ac:dyDescent="0.25">
      <c r="B72">
        <f t="shared" si="50"/>
        <v>5</v>
      </c>
      <c r="C72">
        <f t="shared" si="51"/>
        <v>2022</v>
      </c>
      <c r="E72" s="162">
        <f t="shared" si="52"/>
        <v>3590.3901240967466</v>
      </c>
      <c r="G72" s="162"/>
      <c r="H72" s="246">
        <f t="shared" si="53"/>
        <v>8892.1551257595365</v>
      </c>
      <c r="I72" s="246"/>
      <c r="J72" s="246"/>
      <c r="K72" s="94">
        <f t="shared" si="54"/>
        <v>8892.1551257595365</v>
      </c>
      <c r="L72" s="94"/>
      <c r="M72" s="94"/>
      <c r="N72" s="167">
        <f t="shared" si="55"/>
        <v>9641.9442160469971</v>
      </c>
      <c r="O72" s="167">
        <f t="shared" si="56"/>
        <v>8892.1551257595365</v>
      </c>
      <c r="P72" s="167">
        <f t="shared" si="57"/>
        <v>749.78909028745977</v>
      </c>
      <c r="R72" s="167"/>
      <c r="S72" s="167"/>
      <c r="T72" s="169">
        <f t="shared" si="58"/>
        <v>8892.1551257595365</v>
      </c>
      <c r="U72" s="169"/>
      <c r="V72" s="169"/>
      <c r="W72" s="171">
        <f t="shared" si="59"/>
        <v>8892.1551257595365</v>
      </c>
      <c r="X72" s="171"/>
      <c r="Y72" s="171"/>
      <c r="Z72" s="173">
        <f t="shared" si="60"/>
        <v>8892.1551257595365</v>
      </c>
      <c r="AA72" s="173"/>
    </row>
    <row r="73" spans="2:27" x14ac:dyDescent="0.25">
      <c r="B73">
        <f t="shared" si="50"/>
        <v>6</v>
      </c>
      <c r="C73">
        <f t="shared" si="51"/>
        <v>2023</v>
      </c>
      <c r="E73" s="162">
        <f t="shared" si="52"/>
        <v>5414.0693420256985</v>
      </c>
      <c r="G73" s="162"/>
      <c r="H73" s="246">
        <f t="shared" si="53"/>
        <v>12877.514925580628</v>
      </c>
      <c r="I73" s="246"/>
      <c r="J73" s="246"/>
      <c r="K73" s="94">
        <f t="shared" si="54"/>
        <v>12877.514925580628</v>
      </c>
      <c r="L73" s="94"/>
      <c r="M73" s="94"/>
      <c r="N73" s="167">
        <f t="shared" si="55"/>
        <v>13705.281530595516</v>
      </c>
      <c r="O73" s="167">
        <f t="shared" si="56"/>
        <v>12877.514925580628</v>
      </c>
      <c r="P73" s="167">
        <f t="shared" si="57"/>
        <v>827.76660501488675</v>
      </c>
      <c r="R73" s="167"/>
      <c r="S73" s="167"/>
      <c r="T73" s="169">
        <f t="shared" si="58"/>
        <v>12877.514925580628</v>
      </c>
      <c r="U73" s="169"/>
      <c r="V73" s="169"/>
      <c r="W73" s="171">
        <f t="shared" si="59"/>
        <v>12877.514925580628</v>
      </c>
      <c r="X73" s="171"/>
      <c r="Y73" s="171"/>
      <c r="Z73" s="173">
        <f t="shared" si="60"/>
        <v>12877.514925580628</v>
      </c>
      <c r="AA73" s="173"/>
    </row>
    <row r="74" spans="2:27" x14ac:dyDescent="0.25">
      <c r="B74">
        <f t="shared" si="50"/>
        <v>7</v>
      </c>
      <c r="C74">
        <f t="shared" si="51"/>
        <v>2024</v>
      </c>
      <c r="E74" s="162">
        <f t="shared" si="52"/>
        <v>7660.4217649811708</v>
      </c>
      <c r="G74" s="162"/>
      <c r="H74" s="246">
        <f t="shared" si="53"/>
        <v>17598.017387187869</v>
      </c>
      <c r="I74" s="246"/>
      <c r="J74" s="246"/>
      <c r="K74" s="94">
        <f t="shared" si="54"/>
        <v>17598.017387187869</v>
      </c>
      <c r="L74" s="94"/>
      <c r="M74" s="94"/>
      <c r="N74" s="167">
        <f t="shared" si="55"/>
        <v>18489.432771220967</v>
      </c>
      <c r="O74" s="167">
        <f t="shared" si="56"/>
        <v>17598.017387187869</v>
      </c>
      <c r="P74" s="167">
        <f t="shared" si="57"/>
        <v>891.41538403309914</v>
      </c>
      <c r="R74" s="167"/>
      <c r="S74" s="167"/>
      <c r="T74" s="169">
        <f t="shared" si="58"/>
        <v>17598.017387187869</v>
      </c>
      <c r="U74" s="169"/>
      <c r="V74" s="169"/>
      <c r="W74" s="171">
        <f t="shared" si="59"/>
        <v>17598.017387187869</v>
      </c>
      <c r="X74" s="171"/>
      <c r="Y74" s="171"/>
      <c r="Z74" s="173">
        <f t="shared" si="60"/>
        <v>17598.017387187869</v>
      </c>
      <c r="AA74" s="173"/>
    </row>
    <row r="75" spans="2:27" x14ac:dyDescent="0.25">
      <c r="B75">
        <f t="shared" si="50"/>
        <v>8</v>
      </c>
      <c r="C75">
        <f t="shared" si="51"/>
        <v>2025</v>
      </c>
      <c r="E75" s="162">
        <f t="shared" si="52"/>
        <v>10288.552286495726</v>
      </c>
      <c r="G75" s="162"/>
      <c r="H75" s="246">
        <f t="shared" si="53"/>
        <v>22698.661918244579</v>
      </c>
      <c r="I75" s="246"/>
      <c r="J75" s="246"/>
      <c r="K75" s="94">
        <f t="shared" si="54"/>
        <v>22698.661918244579</v>
      </c>
      <c r="L75" s="94"/>
      <c r="M75" s="94"/>
      <c r="N75" s="167">
        <f t="shared" si="55"/>
        <v>23632.56961579905</v>
      </c>
      <c r="O75" s="167">
        <f t="shared" si="56"/>
        <v>22698.661918244579</v>
      </c>
      <c r="P75" s="167">
        <f t="shared" si="57"/>
        <v>933.907697554469</v>
      </c>
      <c r="R75" s="167"/>
      <c r="S75" s="167"/>
      <c r="T75" s="169">
        <f t="shared" si="58"/>
        <v>22698.661918244579</v>
      </c>
      <c r="U75" s="169"/>
      <c r="V75" s="169"/>
      <c r="W75" s="171">
        <f t="shared" si="59"/>
        <v>22698.661918244579</v>
      </c>
      <c r="X75" s="171"/>
      <c r="Y75" s="171"/>
      <c r="Z75" s="173">
        <f t="shared" si="60"/>
        <v>22698.661918244579</v>
      </c>
      <c r="AA75" s="173"/>
    </row>
    <row r="76" spans="2:27" x14ac:dyDescent="0.25">
      <c r="B76">
        <f t="shared" si="50"/>
        <v>9</v>
      </c>
      <c r="C76">
        <f t="shared" si="51"/>
        <v>2026</v>
      </c>
      <c r="E76" s="162">
        <f t="shared" si="52"/>
        <v>13210.727921408183</v>
      </c>
      <c r="G76" s="162"/>
      <c r="H76" s="246">
        <f t="shared" si="53"/>
        <v>27900.463786673128</v>
      </c>
      <c r="I76" s="246"/>
      <c r="J76" s="246"/>
      <c r="K76" s="94">
        <f t="shared" si="54"/>
        <v>27900.463786673128</v>
      </c>
      <c r="L76" s="94"/>
      <c r="M76" s="94"/>
      <c r="N76" s="167">
        <f t="shared" si="55"/>
        <v>28852.042265554734</v>
      </c>
      <c r="O76" s="167">
        <f t="shared" si="56"/>
        <v>27900.463786673128</v>
      </c>
      <c r="P76" s="167">
        <f t="shared" si="57"/>
        <v>951.57847888160654</v>
      </c>
      <c r="R76" s="167"/>
      <c r="S76" s="167"/>
      <c r="T76" s="169">
        <f t="shared" si="58"/>
        <v>27900.463786673128</v>
      </c>
      <c r="U76" s="169"/>
      <c r="V76" s="169"/>
      <c r="W76" s="171">
        <f t="shared" si="59"/>
        <v>27900.463786673128</v>
      </c>
      <c r="X76" s="171"/>
      <c r="Y76" s="171"/>
      <c r="Z76" s="173">
        <f t="shared" si="60"/>
        <v>27900.463786673128</v>
      </c>
      <c r="AA76" s="173"/>
    </row>
    <row r="77" spans="2:27" x14ac:dyDescent="0.25">
      <c r="B77">
        <f t="shared" si="50"/>
        <v>10</v>
      </c>
      <c r="C77">
        <f t="shared" si="51"/>
        <v>2027</v>
      </c>
      <c r="E77" s="162">
        <f>D50+F54+O28</f>
        <v>305230.06239134108</v>
      </c>
      <c r="G77" s="162"/>
      <c r="H77" s="246">
        <f>G50+I54</f>
        <v>254154.11576360563</v>
      </c>
      <c r="I77" s="246"/>
      <c r="J77" s="246"/>
      <c r="K77" s="94">
        <f>J50+L54</f>
        <v>252622.23264980587</v>
      </c>
      <c r="L77" s="94"/>
      <c r="M77" s="94"/>
      <c r="N77" s="167">
        <f t="shared" si="55"/>
        <v>267610.75700265588</v>
      </c>
      <c r="O77" s="167">
        <f>M50+O54</f>
        <v>254154.11576360563</v>
      </c>
      <c r="P77" s="167">
        <f>P50+R54</f>
        <v>13456.641239050239</v>
      </c>
      <c r="R77" s="167"/>
      <c r="S77" s="167"/>
      <c r="T77" s="169">
        <f>S50+U54</f>
        <v>326686.14998772083</v>
      </c>
      <c r="U77" s="169"/>
      <c r="V77" s="169"/>
      <c r="W77" s="171">
        <f>V50+X54</f>
        <v>297305.5352267446</v>
      </c>
      <c r="X77" s="171"/>
      <c r="Y77" s="171"/>
      <c r="Z77" s="173">
        <f>Y50+AA54</f>
        <v>414827.99427064974</v>
      </c>
      <c r="AA77" s="173"/>
    </row>
    <row r="78" spans="2:27" x14ac:dyDescent="0.25">
      <c r="E78" s="162"/>
      <c r="G78" s="162"/>
      <c r="H78" s="246"/>
      <c r="I78" s="246"/>
      <c r="J78" s="246"/>
      <c r="K78" s="94"/>
      <c r="L78" s="94"/>
      <c r="M78" s="94"/>
      <c r="N78" s="167"/>
      <c r="O78" s="167"/>
      <c r="P78" s="167"/>
      <c r="R78" s="167"/>
      <c r="S78" s="167"/>
      <c r="T78" s="169"/>
      <c r="U78" s="169"/>
      <c r="V78" s="169"/>
      <c r="W78" s="171"/>
      <c r="X78" s="171"/>
      <c r="Y78" s="171"/>
      <c r="Z78" s="173"/>
      <c r="AA78" s="173"/>
    </row>
    <row r="79" spans="2:27" x14ac:dyDescent="0.25">
      <c r="G79" s="244"/>
      <c r="H79" s="244"/>
      <c r="L79" s="245"/>
      <c r="M79" s="245"/>
      <c r="N79" s="120"/>
      <c r="O79" s="167"/>
      <c r="P79" s="245"/>
      <c r="Q79" s="245"/>
    </row>
    <row r="80" spans="2:27" x14ac:dyDescent="0.25">
      <c r="D80" s="253" t="s">
        <v>300</v>
      </c>
      <c r="E80" s="254">
        <f>NPV($E$8,E68:E77)+E67</f>
        <v>11092.891215563759</v>
      </c>
      <c r="G80" s="260" t="s">
        <v>300</v>
      </c>
      <c r="H80" s="252">
        <f>NPV($E$8,H68:H77)+H67</f>
        <v>20203.766181677543</v>
      </c>
      <c r="J80" s="2" t="s">
        <v>300</v>
      </c>
      <c r="K80" s="8">
        <f>NPV($E$8,K68:K77)+K67</f>
        <v>19911.077751165452</v>
      </c>
      <c r="N80" s="263" t="s">
        <v>300</v>
      </c>
      <c r="O80" s="272">
        <f>O56+R56+N67</f>
        <v>29787.409828095006</v>
      </c>
      <c r="S80" s="264" t="s">
        <v>300</v>
      </c>
      <c r="T80" s="265">
        <f>NPV($E$8,T68:T77)+T67</f>
        <v>34062.060634867528</v>
      </c>
      <c r="V80" s="257" t="s">
        <v>300</v>
      </c>
      <c r="W80" s="258">
        <f>NPV($E$8,W68:W77)+W67</f>
        <v>28448.469137967586</v>
      </c>
      <c r="Y80" s="268" t="s">
        <v>300</v>
      </c>
      <c r="Z80" s="269">
        <f>NPV($E$8,Z68:Z77)+Z67</f>
        <v>50902.835125567399</v>
      </c>
    </row>
    <row r="81" spans="4:26" x14ac:dyDescent="0.25">
      <c r="D81" s="253" t="s">
        <v>301</v>
      </c>
      <c r="E81" s="255">
        <f>IRR(E67:E77)</f>
        <v>0.20126065630384238</v>
      </c>
      <c r="G81" s="260" t="s">
        <v>301</v>
      </c>
      <c r="H81" s="261">
        <f>IRR(H67:H77)</f>
        <v>0.22046501870752389</v>
      </c>
      <c r="J81" s="2" t="s">
        <v>301</v>
      </c>
      <c r="K81" s="70">
        <f>IRR(K67:K77)</f>
        <v>0.21996622995639781</v>
      </c>
      <c r="N81" s="263" t="s">
        <v>301</v>
      </c>
      <c r="O81" s="273">
        <f>IRR(N67:N77)</f>
        <v>0.23031150558889246</v>
      </c>
      <c r="S81" s="264" t="s">
        <v>301</v>
      </c>
      <c r="T81" s="266">
        <f>IRR(T67:T77)</f>
        <v>0.24203863548235072</v>
      </c>
      <c r="V81" s="257" t="s">
        <v>301</v>
      </c>
      <c r="W81" s="259">
        <f>IRR(W67:W77)</f>
        <v>0.23374498666765509</v>
      </c>
      <c r="Y81" s="268" t="s">
        <v>301</v>
      </c>
      <c r="Z81" s="270">
        <f>IRR(Z67:Z77)</f>
        <v>0.26408990108472641</v>
      </c>
    </row>
    <row r="82" spans="4:26" x14ac:dyDescent="0.25">
      <c r="D82" s="253" t="s">
        <v>302</v>
      </c>
      <c r="E82" s="256">
        <f>MIRR(E67:E77,$E$8,$E$8)</f>
        <v>0.19982743542665071</v>
      </c>
      <c r="G82" s="260" t="s">
        <v>302</v>
      </c>
      <c r="H82" s="262">
        <f>MIRR(H67:H77,$E$8,$E$8)</f>
        <v>0.21415781165214387</v>
      </c>
      <c r="J82" s="2" t="s">
        <v>302</v>
      </c>
      <c r="K82" s="303">
        <f>MIRR(K67:K77,$E$8,$E$8)</f>
        <v>0.21372043469834612</v>
      </c>
      <c r="N82" s="263" t="s">
        <v>302</v>
      </c>
      <c r="O82" s="273">
        <f>MIRR(N67:N77,$E$8,$E$8)</f>
        <v>0.22187148618586661</v>
      </c>
      <c r="S82" s="264" t="s">
        <v>302</v>
      </c>
      <c r="T82" s="267">
        <f>MIRR(T67:T77,E8,E8)</f>
        <v>0.2334012109111987</v>
      </c>
      <c r="V82" s="257" t="s">
        <v>302</v>
      </c>
      <c r="W82" s="248">
        <f>MIRR(W67:W77,E8,E8)</f>
        <v>0.22593104027244038</v>
      </c>
      <c r="Y82" s="268" t="s">
        <v>302</v>
      </c>
      <c r="Z82" s="247">
        <f>MIRR(Z67:Z77,E8,E8)</f>
        <v>0.25364773268475793</v>
      </c>
    </row>
  </sheetData>
  <mergeCells count="32">
    <mergeCell ref="B7:D7"/>
    <mergeCell ref="B1:AD1"/>
    <mergeCell ref="B4:D4"/>
    <mergeCell ref="Q4:R4"/>
    <mergeCell ref="B5:D5"/>
    <mergeCell ref="B6:D6"/>
    <mergeCell ref="B8:D8"/>
    <mergeCell ref="B10:D10"/>
    <mergeCell ref="AB12:AI12"/>
    <mergeCell ref="AB13:AI14"/>
    <mergeCell ref="C16:D16"/>
    <mergeCell ref="AB16:AI16"/>
    <mergeCell ref="AB17:AI17"/>
    <mergeCell ref="AB18:AI18"/>
    <mergeCell ref="AB19:AI19"/>
    <mergeCell ref="M37:R37"/>
    <mergeCell ref="G38:I38"/>
    <mergeCell ref="J38:L38"/>
    <mergeCell ref="M38:O38"/>
    <mergeCell ref="P38:R38"/>
    <mergeCell ref="S38:U38"/>
    <mergeCell ref="D38:F38"/>
    <mergeCell ref="D65:F65"/>
    <mergeCell ref="C61:AA61"/>
    <mergeCell ref="N65:P65"/>
    <mergeCell ref="V38:X38"/>
    <mergeCell ref="Y38:AA38"/>
    <mergeCell ref="G65:I65"/>
    <mergeCell ref="J65:L65"/>
    <mergeCell ref="S65:U65"/>
    <mergeCell ref="V65:X65"/>
    <mergeCell ref="Y65:AA65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7"/>
  <sheetViews>
    <sheetView workbookViewId="0">
      <selection activeCell="B5" sqref="B5"/>
    </sheetView>
  </sheetViews>
  <sheetFormatPr defaultRowHeight="15" x14ac:dyDescent="0.25"/>
  <cols>
    <col min="2" max="3" width="17.7109375" customWidth="1"/>
    <col min="4" max="5" width="15.7109375" customWidth="1"/>
    <col min="6" max="6" width="17.7109375" customWidth="1"/>
  </cols>
  <sheetData>
    <row r="1" spans="2:6" x14ac:dyDescent="0.25">
      <c r="B1" s="285" t="s">
        <v>243</v>
      </c>
      <c r="C1" s="285"/>
      <c r="D1" s="285"/>
      <c r="E1" s="285"/>
      <c r="F1" s="285"/>
    </row>
    <row r="3" spans="2:6" ht="30" x14ac:dyDescent="0.25">
      <c r="B3" s="181" t="s">
        <v>235</v>
      </c>
      <c r="C3" s="182" t="s">
        <v>236</v>
      </c>
      <c r="D3" s="182" t="s">
        <v>237</v>
      </c>
    </row>
    <row r="4" spans="2:6" x14ac:dyDescent="0.25">
      <c r="B4" s="183">
        <v>8610000</v>
      </c>
      <c r="C4" s="94">
        <f>MAX(F10:F17)</f>
        <v>2927400</v>
      </c>
      <c r="D4" s="131">
        <f>C4/B4</f>
        <v>0.34</v>
      </c>
    </row>
    <row r="6" spans="2:6" x14ac:dyDescent="0.25">
      <c r="B6" s="183"/>
      <c r="C6" s="183"/>
      <c r="D6" s="183"/>
      <c r="E6" s="184"/>
      <c r="F6" s="94"/>
    </row>
    <row r="7" spans="2:6" x14ac:dyDescent="0.25">
      <c r="B7" s="183"/>
      <c r="C7" s="183"/>
      <c r="D7" s="183"/>
      <c r="E7" s="183"/>
      <c r="F7" s="183"/>
    </row>
    <row r="8" spans="2:6" ht="30" x14ac:dyDescent="0.25">
      <c r="B8" s="181" t="s">
        <v>238</v>
      </c>
      <c r="C8" s="181" t="s">
        <v>239</v>
      </c>
      <c r="D8" s="181" t="s">
        <v>240</v>
      </c>
      <c r="E8" s="181" t="s">
        <v>241</v>
      </c>
      <c r="F8" s="181" t="s">
        <v>242</v>
      </c>
    </row>
    <row r="10" spans="2:6" x14ac:dyDescent="0.25">
      <c r="B10" s="3">
        <v>0</v>
      </c>
      <c r="C10" s="3">
        <v>50000</v>
      </c>
      <c r="D10">
        <v>0.15</v>
      </c>
      <c r="E10" s="94">
        <f>IF(B4&gt;=C10, C10*D10, B$4*D10)</f>
        <v>7500</v>
      </c>
      <c r="F10" s="94">
        <f>E10</f>
        <v>7500</v>
      </c>
    </row>
    <row r="11" spans="2:6" x14ac:dyDescent="0.25">
      <c r="B11" s="3">
        <v>50001</v>
      </c>
      <c r="C11" s="3">
        <v>75000</v>
      </c>
      <c r="D11">
        <v>0.25</v>
      </c>
      <c r="E11" s="94">
        <f t="shared" ref="E11:E16" si="0">IF(B$4&gt;=C11, ((C11-B11+1)*D11), IF(B$4 &lt; B11, 0, (B$4-B11+1)*D11))</f>
        <v>6250</v>
      </c>
      <c r="F11" s="94">
        <f>F10+E11</f>
        <v>13750</v>
      </c>
    </row>
    <row r="12" spans="2:6" x14ac:dyDescent="0.25">
      <c r="B12" s="3">
        <v>75001</v>
      </c>
      <c r="C12" s="3">
        <v>100000</v>
      </c>
      <c r="D12">
        <v>0.34</v>
      </c>
      <c r="E12" s="94">
        <f t="shared" si="0"/>
        <v>8500</v>
      </c>
      <c r="F12" s="94">
        <f t="shared" ref="F12:F17" si="1">F11+E12</f>
        <v>22250</v>
      </c>
    </row>
    <row r="13" spans="2:6" x14ac:dyDescent="0.25">
      <c r="B13" s="3">
        <v>100001</v>
      </c>
      <c r="C13" s="3">
        <v>335000</v>
      </c>
      <c r="D13">
        <v>0.39</v>
      </c>
      <c r="E13" s="94">
        <f t="shared" si="0"/>
        <v>91650</v>
      </c>
      <c r="F13" s="94">
        <f t="shared" si="1"/>
        <v>113900</v>
      </c>
    </row>
    <row r="14" spans="2:6" x14ac:dyDescent="0.25">
      <c r="B14" s="3">
        <v>335001</v>
      </c>
      <c r="C14" s="3">
        <v>10000000</v>
      </c>
      <c r="D14">
        <v>0.34</v>
      </c>
      <c r="E14" s="94">
        <f t="shared" si="0"/>
        <v>2813500</v>
      </c>
      <c r="F14" s="94">
        <f t="shared" si="1"/>
        <v>2927400</v>
      </c>
    </row>
    <row r="15" spans="2:6" x14ac:dyDescent="0.25">
      <c r="B15" s="3">
        <v>10000001</v>
      </c>
      <c r="C15" s="3">
        <v>15000000</v>
      </c>
      <c r="D15">
        <v>0.35</v>
      </c>
      <c r="E15" s="94">
        <f t="shared" si="0"/>
        <v>0</v>
      </c>
      <c r="F15" s="94">
        <f t="shared" si="1"/>
        <v>2927400</v>
      </c>
    </row>
    <row r="16" spans="2:6" x14ac:dyDescent="0.25">
      <c r="B16" s="3">
        <v>15000001</v>
      </c>
      <c r="C16" s="3">
        <v>18333333</v>
      </c>
      <c r="D16">
        <v>0.38</v>
      </c>
      <c r="E16" s="94">
        <f t="shared" si="0"/>
        <v>0</v>
      </c>
      <c r="F16" s="94">
        <f t="shared" si="1"/>
        <v>2927400</v>
      </c>
    </row>
    <row r="17" spans="2:6" x14ac:dyDescent="0.25">
      <c r="B17" s="3">
        <v>18333334</v>
      </c>
      <c r="D17">
        <v>0.35</v>
      </c>
      <c r="E17" s="94">
        <f>IF(B$4&gt;B17, ((B$4-B17+1)*D17), 0)</f>
        <v>0</v>
      </c>
      <c r="F17" s="94">
        <f t="shared" si="1"/>
        <v>2927400</v>
      </c>
    </row>
  </sheetData>
  <mergeCells count="1">
    <mergeCell ref="B1:F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7"/>
  <sheetViews>
    <sheetView workbookViewId="0">
      <selection activeCell="D11" sqref="D11:D17"/>
    </sheetView>
  </sheetViews>
  <sheetFormatPr defaultRowHeight="15" x14ac:dyDescent="0.25"/>
  <cols>
    <col min="2" max="3" width="17.7109375" customWidth="1"/>
    <col min="4" max="5" width="15.7109375" customWidth="1"/>
    <col min="6" max="6" width="17.7109375" customWidth="1"/>
  </cols>
  <sheetData>
    <row r="1" spans="2:6" x14ac:dyDescent="0.25">
      <c r="B1" s="285" t="s">
        <v>244</v>
      </c>
      <c r="C1" s="285"/>
      <c r="D1" s="285"/>
      <c r="E1" s="285"/>
      <c r="F1" s="285"/>
    </row>
    <row r="3" spans="2:6" ht="30" x14ac:dyDescent="0.25">
      <c r="B3" s="181" t="s">
        <v>235</v>
      </c>
      <c r="C3" s="182" t="s">
        <v>236</v>
      </c>
      <c r="D3" s="182" t="s">
        <v>237</v>
      </c>
    </row>
    <row r="4" spans="2:6" x14ac:dyDescent="0.25">
      <c r="B4" s="183">
        <v>4290000</v>
      </c>
      <c r="C4" s="94">
        <f>MAX(F10:F17)</f>
        <v>900900</v>
      </c>
      <c r="D4" s="131">
        <f>C4/B4</f>
        <v>0.21</v>
      </c>
    </row>
    <row r="6" spans="2:6" x14ac:dyDescent="0.25">
      <c r="B6" s="183"/>
      <c r="C6" s="183"/>
      <c r="D6" s="183"/>
      <c r="E6" s="184"/>
      <c r="F6" s="94"/>
    </row>
    <row r="7" spans="2:6" x14ac:dyDescent="0.25">
      <c r="B7" s="183"/>
      <c r="C7" s="183"/>
      <c r="D7" s="183"/>
      <c r="E7" s="183"/>
      <c r="F7" s="183"/>
    </row>
    <row r="8" spans="2:6" ht="30" x14ac:dyDescent="0.25">
      <c r="B8" s="181" t="s">
        <v>238</v>
      </c>
      <c r="C8" s="181" t="s">
        <v>239</v>
      </c>
      <c r="D8" s="181" t="s">
        <v>240</v>
      </c>
      <c r="E8" s="181" t="s">
        <v>241</v>
      </c>
      <c r="F8" s="181" t="s">
        <v>242</v>
      </c>
    </row>
    <row r="10" spans="2:6" x14ac:dyDescent="0.25">
      <c r="B10" s="3">
        <v>0</v>
      </c>
      <c r="C10" s="3">
        <v>50000</v>
      </c>
      <c r="D10">
        <v>0.21</v>
      </c>
      <c r="E10" s="94">
        <f>IF(B4&gt;=C10, C10*D10, B$4*D10)</f>
        <v>10500</v>
      </c>
      <c r="F10" s="94">
        <f>E10</f>
        <v>10500</v>
      </c>
    </row>
    <row r="11" spans="2:6" x14ac:dyDescent="0.25">
      <c r="B11" s="3">
        <v>50001</v>
      </c>
      <c r="C11" s="3">
        <v>75000</v>
      </c>
      <c r="D11">
        <v>0.21</v>
      </c>
      <c r="E11" s="94">
        <f t="shared" ref="E11:E16" si="0">IF(B$4&gt;=C11, ((C11-B11+1)*D11), IF(B$4 &lt; B11, 0, (B$4-B11+1)*D11))</f>
        <v>5250</v>
      </c>
      <c r="F11" s="94">
        <f>F10+E11</f>
        <v>15750</v>
      </c>
    </row>
    <row r="12" spans="2:6" x14ac:dyDescent="0.25">
      <c r="B12" s="3">
        <v>75001</v>
      </c>
      <c r="C12" s="3">
        <v>100000</v>
      </c>
      <c r="D12">
        <v>0.21</v>
      </c>
      <c r="E12" s="94">
        <f t="shared" si="0"/>
        <v>5250</v>
      </c>
      <c r="F12" s="94">
        <f t="shared" ref="F12:F17" si="1">F11+E12</f>
        <v>21000</v>
      </c>
    </row>
    <row r="13" spans="2:6" x14ac:dyDescent="0.25">
      <c r="B13" s="3">
        <v>100001</v>
      </c>
      <c r="C13" s="3">
        <v>335000</v>
      </c>
      <c r="D13">
        <v>0.21</v>
      </c>
      <c r="E13" s="94">
        <f t="shared" si="0"/>
        <v>49350</v>
      </c>
      <c r="F13" s="94">
        <f t="shared" si="1"/>
        <v>70350</v>
      </c>
    </row>
    <row r="14" spans="2:6" x14ac:dyDescent="0.25">
      <c r="B14" s="3">
        <v>335001</v>
      </c>
      <c r="C14" s="3">
        <v>10000000</v>
      </c>
      <c r="D14">
        <v>0.21</v>
      </c>
      <c r="E14" s="94">
        <f t="shared" si="0"/>
        <v>830550</v>
      </c>
      <c r="F14" s="94">
        <f t="shared" si="1"/>
        <v>900900</v>
      </c>
    </row>
    <row r="15" spans="2:6" x14ac:dyDescent="0.25">
      <c r="B15" s="3">
        <v>10000001</v>
      </c>
      <c r="C15" s="3">
        <v>15000000</v>
      </c>
      <c r="D15">
        <v>0.21</v>
      </c>
      <c r="E15" s="94">
        <f t="shared" si="0"/>
        <v>0</v>
      </c>
      <c r="F15" s="94">
        <f t="shared" si="1"/>
        <v>900900</v>
      </c>
    </row>
    <row r="16" spans="2:6" x14ac:dyDescent="0.25">
      <c r="B16" s="3">
        <v>15000001</v>
      </c>
      <c r="C16" s="3">
        <v>18333333</v>
      </c>
      <c r="D16">
        <v>0.21</v>
      </c>
      <c r="E16" s="94">
        <f t="shared" si="0"/>
        <v>0</v>
      </c>
      <c r="F16" s="94">
        <f t="shared" si="1"/>
        <v>900900</v>
      </c>
    </row>
    <row r="17" spans="2:6" x14ac:dyDescent="0.25">
      <c r="B17" s="3">
        <v>18333334</v>
      </c>
      <c r="D17">
        <v>0.21</v>
      </c>
      <c r="E17" s="94">
        <f>IF(B$4&gt;B17, ((B$4-B17+1)*D17), 0)</f>
        <v>0</v>
      </c>
      <c r="F17" s="94">
        <f t="shared" si="1"/>
        <v>900900</v>
      </c>
    </row>
  </sheetData>
  <mergeCells count="1">
    <mergeCell ref="B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Financial Stmt</vt:lpstr>
      <vt:lpstr>Rev Forecast</vt:lpstr>
      <vt:lpstr>VAL without adjust</vt:lpstr>
      <vt:lpstr>VAL with adjust</vt:lpstr>
      <vt:lpstr>NPV MIRR &amp; IRR with adjust</vt:lpstr>
      <vt:lpstr>Pre 2018 Tax</vt:lpstr>
      <vt:lpstr>Post 2017 Tax</vt:lpstr>
    </vt:vector>
  </TitlesOfParts>
  <Company>Westminster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Anyone</dc:creator>
  <cp:lastModifiedBy>Rick Haskell</cp:lastModifiedBy>
  <cp:lastPrinted>2015-07-01T19:12:09Z</cp:lastPrinted>
  <dcterms:created xsi:type="dcterms:W3CDTF">2015-07-01T13:09:22Z</dcterms:created>
  <dcterms:modified xsi:type="dcterms:W3CDTF">2018-05-30T19:30:00Z</dcterms:modified>
</cp:coreProperties>
</file>