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d.docs.live.net/131884e92771e6bb/EXCEL TEMPLATES/"/>
    </mc:Choice>
  </mc:AlternateContent>
  <bookViews>
    <workbookView xWindow="0" yWindow="0" windowWidth="28800" windowHeight="13020"/>
  </bookViews>
  <sheets>
    <sheet name="Transaction Details" sheetId="4" r:id="rId1"/>
    <sheet name="VAL without adjusts" sheetId="5" r:id="rId2"/>
    <sheet name="VAL with Investor Adjusts" sheetId="6" r:id="rId3"/>
  </sheets>
  <externalReferences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" i="5" l="1"/>
  <c r="N11" i="5"/>
  <c r="L11" i="5" s="1"/>
  <c r="L11" i="6" s="1"/>
  <c r="F11" i="5"/>
  <c r="F11" i="6" s="1"/>
  <c r="E11" i="5"/>
  <c r="E11" i="6" s="1"/>
  <c r="D11" i="5"/>
  <c r="D11" i="6" s="1"/>
  <c r="L27" i="4"/>
  <c r="L26" i="4"/>
  <c r="L24" i="4"/>
  <c r="L25" i="4"/>
  <c r="L23" i="4"/>
  <c r="H20" i="6"/>
  <c r="C11" i="5"/>
  <c r="O11" i="6"/>
  <c r="C11" i="6"/>
  <c r="H11" i="5"/>
  <c r="H19" i="5" s="1"/>
  <c r="L22" i="4"/>
  <c r="L21" i="4"/>
  <c r="L20" i="4"/>
  <c r="M20" i="4"/>
  <c r="I5" i="4"/>
  <c r="H11" i="6"/>
  <c r="H19" i="6" s="1"/>
  <c r="Q29" i="4"/>
  <c r="I8" i="4"/>
  <c r="N11" i="6" l="1"/>
  <c r="C12" i="5" l="1"/>
  <c r="F19" i="6"/>
  <c r="E19" i="6"/>
  <c r="A13" i="6"/>
  <c r="A14" i="6" s="1"/>
  <c r="A15" i="6" s="1"/>
  <c r="A16" i="6" s="1"/>
  <c r="G11" i="6"/>
  <c r="I11" i="6" s="1"/>
  <c r="B11" i="6"/>
  <c r="B12" i="6" s="1"/>
  <c r="B13" i="6" s="1"/>
  <c r="B14" i="6" s="1"/>
  <c r="B15" i="6" s="1"/>
  <c r="B16" i="6" s="1"/>
  <c r="B17" i="6" s="1"/>
  <c r="O7" i="6"/>
  <c r="O19" i="6" s="1"/>
  <c r="O12" i="6" s="1"/>
  <c r="O13" i="6" s="1"/>
  <c r="O14" i="6" s="1"/>
  <c r="O15" i="6" s="1"/>
  <c r="O16" i="6" s="1"/>
  <c r="D6" i="6"/>
  <c r="D5" i="6"/>
  <c r="D4" i="6"/>
  <c r="D3" i="6"/>
  <c r="D6" i="5"/>
  <c r="D5" i="5"/>
  <c r="D4" i="5"/>
  <c r="O7" i="5"/>
  <c r="D19" i="5" s="1"/>
  <c r="D3" i="5"/>
  <c r="A13" i="5"/>
  <c r="A14" i="5" s="1"/>
  <c r="A15" i="5" s="1"/>
  <c r="A16" i="5" s="1"/>
  <c r="B11" i="5"/>
  <c r="B12" i="5" s="1"/>
  <c r="B13" i="5" s="1"/>
  <c r="B14" i="5" s="1"/>
  <c r="B15" i="5" s="1"/>
  <c r="B16" i="5" s="1"/>
  <c r="B17" i="5" s="1"/>
  <c r="N19" i="6" l="1"/>
  <c r="N12" i="6" s="1"/>
  <c r="L12" i="6" s="1"/>
  <c r="O17" i="6"/>
  <c r="J11" i="6"/>
  <c r="K11" i="6" s="1"/>
  <c r="M11" i="6"/>
  <c r="P11" i="6" s="1"/>
  <c r="D19" i="6"/>
  <c r="D12" i="6" s="1"/>
  <c r="E12" i="6" s="1"/>
  <c r="D12" i="5"/>
  <c r="D13" i="5" s="1"/>
  <c r="D14" i="5" s="1"/>
  <c r="N19" i="5"/>
  <c r="N12" i="5" s="1"/>
  <c r="N13" i="5" s="1"/>
  <c r="N14" i="5" s="1"/>
  <c r="N15" i="5" s="1"/>
  <c r="N16" i="5" s="1"/>
  <c r="N17" i="5" s="1"/>
  <c r="O19" i="5"/>
  <c r="O12" i="5" s="1"/>
  <c r="O13" i="5" s="1"/>
  <c r="O14" i="5" s="1"/>
  <c r="O15" i="5" s="1"/>
  <c r="O16" i="5" s="1"/>
  <c r="O17" i="5" s="1"/>
  <c r="F19" i="5"/>
  <c r="G11" i="5"/>
  <c r="E19" i="5"/>
  <c r="N13" i="6" l="1"/>
  <c r="N14" i="6" s="1"/>
  <c r="Q11" i="6"/>
  <c r="B11" i="4"/>
  <c r="F12" i="6"/>
  <c r="D13" i="6"/>
  <c r="E13" i="6" s="1"/>
  <c r="L17" i="5"/>
  <c r="L14" i="5"/>
  <c r="L15" i="5"/>
  <c r="L12" i="5"/>
  <c r="L13" i="5"/>
  <c r="L16" i="5"/>
  <c r="M11" i="5"/>
  <c r="I11" i="5"/>
  <c r="J11" i="5" s="1"/>
  <c r="K11" i="5" s="1"/>
  <c r="E12" i="5"/>
  <c r="E13" i="5"/>
  <c r="F12" i="5"/>
  <c r="P11" i="5" l="1"/>
  <c r="H11" i="4" s="1"/>
  <c r="L13" i="6"/>
  <c r="G12" i="6"/>
  <c r="M12" i="6" s="1"/>
  <c r="L14" i="6"/>
  <c r="N15" i="6"/>
  <c r="D14" i="6"/>
  <c r="E14" i="6" s="1"/>
  <c r="F13" i="6"/>
  <c r="Q11" i="5"/>
  <c r="G12" i="5"/>
  <c r="M12" i="5" s="1"/>
  <c r="P12" i="5" s="1"/>
  <c r="H12" i="4" s="1"/>
  <c r="F13" i="5"/>
  <c r="G13" i="5" s="1"/>
  <c r="M13" i="5" s="1"/>
  <c r="G13" i="6" l="1"/>
  <c r="M13" i="6" s="1"/>
  <c r="F14" i="6"/>
  <c r="D15" i="6"/>
  <c r="E15" i="6" s="1"/>
  <c r="N16" i="6"/>
  <c r="L15" i="6"/>
  <c r="Q12" i="6"/>
  <c r="P12" i="6"/>
  <c r="B12" i="4" s="1"/>
  <c r="Q12" i="5"/>
  <c r="Q13" i="5"/>
  <c r="P13" i="5"/>
  <c r="H13" i="4" s="1"/>
  <c r="D15" i="5"/>
  <c r="F14" i="5"/>
  <c r="E14" i="5"/>
  <c r="G14" i="6" l="1"/>
  <c r="M14" i="6" s="1"/>
  <c r="N17" i="6"/>
  <c r="L17" i="6" s="1"/>
  <c r="L16" i="6"/>
  <c r="F15" i="6"/>
  <c r="D16" i="6"/>
  <c r="E16" i="6" s="1"/>
  <c r="Q13" i="6"/>
  <c r="P13" i="6"/>
  <c r="B13" i="4" s="1"/>
  <c r="G14" i="5"/>
  <c r="M14" i="5" s="1"/>
  <c r="Q14" i="5" s="1"/>
  <c r="D16" i="5"/>
  <c r="F15" i="5"/>
  <c r="E15" i="5"/>
  <c r="G15" i="6" l="1"/>
  <c r="M15" i="6" s="1"/>
  <c r="F16" i="6"/>
  <c r="D17" i="6"/>
  <c r="E17" i="6" s="1"/>
  <c r="P14" i="6"/>
  <c r="B14" i="4" s="1"/>
  <c r="Q14" i="6"/>
  <c r="P14" i="5"/>
  <c r="H14" i="4" s="1"/>
  <c r="G15" i="5"/>
  <c r="M15" i="5" s="1"/>
  <c r="Q15" i="5" s="1"/>
  <c r="D17" i="5"/>
  <c r="F16" i="5"/>
  <c r="E16" i="5"/>
  <c r="G16" i="6" l="1"/>
  <c r="M16" i="6" s="1"/>
  <c r="F17" i="6"/>
  <c r="Q15" i="6"/>
  <c r="P15" i="6"/>
  <c r="B15" i="4" s="1"/>
  <c r="G16" i="5"/>
  <c r="M16" i="5" s="1"/>
  <c r="P16" i="5" s="1"/>
  <c r="H16" i="4" s="1"/>
  <c r="P15" i="5"/>
  <c r="H15" i="4" s="1"/>
  <c r="F17" i="5"/>
  <c r="E17" i="5"/>
  <c r="G17" i="6" l="1"/>
  <c r="M17" i="6" s="1"/>
  <c r="Q16" i="6"/>
  <c r="P16" i="6"/>
  <c r="B16" i="4" s="1"/>
  <c r="Q16" i="5"/>
  <c r="G17" i="5"/>
  <c r="M17" i="5" s="1"/>
  <c r="Q17" i="6" l="1"/>
  <c r="P17" i="6"/>
  <c r="P17" i="5"/>
  <c r="Q17" i="5"/>
  <c r="P32" i="4" l="1"/>
  <c r="Q31" i="4"/>
  <c r="B29" i="4"/>
  <c r="H29" i="4"/>
  <c r="G35" i="4"/>
  <c r="G34" i="4"/>
  <c r="G33" i="4"/>
  <c r="G32" i="4"/>
  <c r="G31" i="4"/>
  <c r="G30" i="4"/>
  <c r="A35" i="4"/>
  <c r="A34" i="4"/>
  <c r="A33" i="4"/>
  <c r="A32" i="4"/>
  <c r="A31" i="4"/>
  <c r="A30" i="4"/>
  <c r="B30" i="4"/>
  <c r="S22" i="4"/>
  <c r="M5" i="4" s="1"/>
  <c r="S13" i="4"/>
  <c r="S14" i="4" s="1"/>
  <c r="P13" i="4" s="1"/>
  <c r="S11" i="4"/>
  <c r="H30" i="4" l="1"/>
  <c r="H34" i="4"/>
  <c r="H32" i="4"/>
  <c r="H31" i="4"/>
  <c r="H33" i="4"/>
  <c r="R23" i="4"/>
  <c r="Q23" i="4"/>
  <c r="P14" i="4"/>
  <c r="S21" i="4"/>
  <c r="M4" i="4" l="1"/>
  <c r="B31" i="4"/>
  <c r="S23" i="4"/>
  <c r="M6" i="4" s="1"/>
  <c r="P12" i="4"/>
  <c r="C13" i="4"/>
  <c r="C12" i="4"/>
  <c r="C11" i="4"/>
  <c r="S24" i="4" l="1"/>
  <c r="S25" i="4"/>
  <c r="M7" i="4"/>
  <c r="P6" i="4" s="1"/>
  <c r="Q32" i="4"/>
  <c r="Q33" i="4" s="1"/>
  <c r="H12" i="5" s="1"/>
  <c r="B32" i="4"/>
  <c r="D11" i="4"/>
  <c r="D12" i="4" s="1"/>
  <c r="D13" i="4" s="1"/>
  <c r="P5" i="4" l="1"/>
  <c r="Q34" i="4"/>
  <c r="C12" i="6" s="1"/>
  <c r="Q36" i="4"/>
  <c r="P4" i="4"/>
  <c r="C13" i="5"/>
  <c r="C14" i="5" s="1"/>
  <c r="C15" i="5" s="1"/>
  <c r="C16" i="5" s="1"/>
  <c r="C17" i="5" s="1"/>
  <c r="B33" i="4"/>
  <c r="C14" i="4"/>
  <c r="D14" i="4" s="1"/>
  <c r="P16" i="4" l="1"/>
  <c r="I4" i="4" s="1"/>
  <c r="I22" i="4" s="1"/>
  <c r="H35" i="4" s="1"/>
  <c r="I18" i="4" s="1"/>
  <c r="C13" i="6"/>
  <c r="H12" i="6"/>
  <c r="I12" i="6" s="1"/>
  <c r="H13" i="5"/>
  <c r="I12" i="5"/>
  <c r="J12" i="5" s="1"/>
  <c r="K12" i="5" s="1"/>
  <c r="B34" i="4"/>
  <c r="C15" i="4"/>
  <c r="D15" i="4" s="1"/>
  <c r="C21" i="4" s="1"/>
  <c r="I11" i="4" l="1"/>
  <c r="J11" i="4" s="1"/>
  <c r="I12" i="4"/>
  <c r="I23" i="4"/>
  <c r="I15" i="4"/>
  <c r="I13" i="4"/>
  <c r="I14" i="4"/>
  <c r="C14" i="6"/>
  <c r="H13" i="6"/>
  <c r="I13" i="6" s="1"/>
  <c r="J13" i="6" s="1"/>
  <c r="K13" i="6" s="1"/>
  <c r="J12" i="6"/>
  <c r="K12" i="6" s="1"/>
  <c r="H14" i="5"/>
  <c r="I13" i="5"/>
  <c r="C22" i="4"/>
  <c r="C23" i="4" s="1"/>
  <c r="C24" i="4" s="1"/>
  <c r="C19" i="4" s="1"/>
  <c r="J12" i="4" l="1"/>
  <c r="J13" i="4" s="1"/>
  <c r="J14" i="4" s="1"/>
  <c r="J15" i="4" s="1"/>
  <c r="I21" i="4" s="1"/>
  <c r="I24" i="4" s="1"/>
  <c r="I19" i="4" s="1"/>
  <c r="C15" i="6"/>
  <c r="H14" i="6"/>
  <c r="I14" i="6"/>
  <c r="J14" i="6" s="1"/>
  <c r="K14" i="6" s="1"/>
  <c r="J13" i="5"/>
  <c r="K13" i="5" s="1"/>
  <c r="H15" i="5"/>
  <c r="I14" i="5"/>
  <c r="J14" i="5" s="1"/>
  <c r="K14" i="5" s="1"/>
  <c r="B35" i="4"/>
  <c r="Q39" i="4" l="1"/>
  <c r="Q38" i="4"/>
  <c r="C16" i="6"/>
  <c r="H15" i="6"/>
  <c r="I15" i="6" s="1"/>
  <c r="J15" i="6" s="1"/>
  <c r="K15" i="6" s="1"/>
  <c r="C18" i="4"/>
  <c r="H16" i="5"/>
  <c r="I15" i="5"/>
  <c r="J15" i="5" s="1"/>
  <c r="K15" i="5" s="1"/>
  <c r="C17" i="6" l="1"/>
  <c r="H17" i="6" s="1"/>
  <c r="I17" i="6" s="1"/>
  <c r="J17" i="6" s="1"/>
  <c r="K17" i="6" s="1"/>
  <c r="H16" i="6"/>
  <c r="I16" i="6" s="1"/>
  <c r="J16" i="6" s="1"/>
  <c r="K16" i="6" s="1"/>
  <c r="H17" i="5"/>
  <c r="I17" i="5" s="1"/>
  <c r="J17" i="5" s="1"/>
  <c r="K17" i="5" s="1"/>
  <c r="I16" i="5"/>
  <c r="J16" i="5" s="1"/>
  <c r="K16" i="5" s="1"/>
</calcChain>
</file>

<file path=xl/sharedStrings.xml><?xml version="1.0" encoding="utf-8"?>
<sst xmlns="http://schemas.openxmlformats.org/spreadsheetml/2006/main" count="131" uniqueCount="89">
  <si>
    <t>IRR</t>
  </si>
  <si>
    <t>NPV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</si>
  <si>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</si>
  <si>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</si>
  <si>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  <r>
      <rPr>
        <b/>
        <sz val="11"/>
        <color theme="1"/>
        <rFont val="Calibri"/>
        <family val="2"/>
        <scheme val="minor"/>
      </rPr>
      <t xml:space="preserve"> + PV</t>
    </r>
    <r>
      <rPr>
        <b/>
        <vertAlign val="subscript"/>
        <sz val="11"/>
        <color theme="1"/>
        <rFont val="Calibri"/>
        <family val="2"/>
        <scheme val="minor"/>
      </rPr>
      <t>CV</t>
    </r>
    <r>
      <rPr>
        <b/>
        <sz val="11"/>
        <color theme="1"/>
        <rFont val="Calibri"/>
        <family val="2"/>
        <scheme val="minor"/>
      </rPr>
      <t xml:space="preserve"> </t>
    </r>
  </si>
  <si>
    <t>ROIC</t>
  </si>
  <si>
    <t>E</t>
  </si>
  <si>
    <t>P</t>
  </si>
  <si>
    <t>V</t>
  </si>
  <si>
    <t>D</t>
  </si>
  <si>
    <t>WACC</t>
  </si>
  <si>
    <t>E/V</t>
  </si>
  <si>
    <t>P/V</t>
  </si>
  <si>
    <t>D/V</t>
  </si>
  <si>
    <r>
      <t>R</t>
    </r>
    <r>
      <rPr>
        <b/>
        <vertAlign val="subscript"/>
        <sz val="11"/>
        <color theme="1"/>
        <rFont val="Calibri"/>
        <family val="2"/>
        <scheme val="minor"/>
      </rPr>
      <t>F</t>
    </r>
  </si>
  <si>
    <r>
      <t>B</t>
    </r>
    <r>
      <rPr>
        <b/>
        <vertAlign val="subscript"/>
        <sz val="11"/>
        <color theme="1"/>
        <rFont val="Calibri"/>
        <family val="2"/>
        <scheme val="minor"/>
      </rPr>
      <t>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</si>
  <si>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M(E)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</si>
  <si>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E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</si>
  <si>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P</t>
    </r>
  </si>
  <si>
    <r>
      <t>R</t>
    </r>
    <r>
      <rPr>
        <b/>
        <vertAlign val="subscript"/>
        <sz val="11"/>
        <color theme="1"/>
        <rFont val="Calibri"/>
        <family val="2"/>
        <scheme val="minor"/>
      </rPr>
      <t>D</t>
    </r>
  </si>
  <si>
    <t>Capital Components: Market Value Based</t>
  </si>
  <si>
    <t>CAPM Estimates</t>
  </si>
  <si>
    <t>Mkt Cap</t>
  </si>
  <si>
    <t>Debt</t>
  </si>
  <si>
    <t>Units Out</t>
  </si>
  <si>
    <t>Price Per Unit</t>
  </si>
  <si>
    <t>LBO Example</t>
  </si>
  <si>
    <t>Coupon Rate</t>
  </si>
  <si>
    <t>PPY</t>
  </si>
  <si>
    <t>Years Remaining</t>
  </si>
  <si>
    <t>Current Yield</t>
  </si>
  <si>
    <t>Book Value Debt</t>
  </si>
  <si>
    <t>Face</t>
  </si>
  <si>
    <t>Common</t>
  </si>
  <si>
    <t>Preferred</t>
  </si>
  <si>
    <t>Cash on Hand</t>
  </si>
  <si>
    <t>Cash Required</t>
  </si>
  <si>
    <t>Mkt Val per unit</t>
  </si>
  <si>
    <t>Pref Div rate</t>
  </si>
  <si>
    <t>Pref Div Per Share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</si>
  <si>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&gt;5</t>
    </r>
  </si>
  <si>
    <r>
      <t>CV</t>
    </r>
    <r>
      <rPr>
        <b/>
        <vertAlign val="subscript"/>
        <sz val="11"/>
        <color theme="1"/>
        <rFont val="Calibri"/>
        <family val="2"/>
        <scheme val="minor"/>
      </rPr>
      <t>0</t>
    </r>
  </si>
  <si>
    <t>Finite Cash Flows</t>
  </si>
  <si>
    <r>
      <t>Proposed Investment</t>
    </r>
    <r>
      <rPr>
        <b/>
        <vertAlign val="subscript"/>
        <sz val="11"/>
        <color theme="1"/>
        <rFont val="Calibri"/>
        <family val="2"/>
        <scheme val="minor"/>
      </rPr>
      <t>1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</si>
  <si>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Proposed Investment Details</t>
    </r>
  </si>
  <si>
    <t>Offer</t>
  </si>
  <si>
    <t>Terms</t>
  </si>
  <si>
    <t>Cash</t>
  </si>
  <si>
    <t>New Debt</t>
  </si>
  <si>
    <t>Existing Debt</t>
  </si>
  <si>
    <t>Debt Service</t>
  </si>
  <si>
    <t>Long term g</t>
  </si>
  <si>
    <t>Sales Forecast</t>
  </si>
  <si>
    <t>Market Increase</t>
  </si>
  <si>
    <t>Tax Rate on EBIT</t>
  </si>
  <si>
    <t>Tax Rate on Taxable Income</t>
  </si>
  <si>
    <t>Total</t>
  </si>
  <si>
    <t>Year</t>
  </si>
  <si>
    <t>Revenue</t>
  </si>
  <si>
    <t>Operating Expense (w/out Dep)</t>
  </si>
  <si>
    <t>Dep</t>
  </si>
  <si>
    <t>EBIT</t>
  </si>
  <si>
    <t>Interest Expense</t>
  </si>
  <si>
    <t>Invested Capital</t>
  </si>
  <si>
    <t>NOPLAT</t>
  </si>
  <si>
    <t>NWC</t>
  </si>
  <si>
    <t>FA</t>
  </si>
  <si>
    <t>FCF</t>
  </si>
  <si>
    <t>Forecast Ratios</t>
  </si>
  <si>
    <t>Taxes Paid/Taxable Income</t>
  </si>
  <si>
    <t>LBA Example</t>
  </si>
  <si>
    <t>New Products</t>
  </si>
  <si>
    <t>Regional Expansion</t>
  </si>
  <si>
    <t>Taxable Income</t>
  </si>
  <si>
    <t>Tax Expense</t>
  </si>
  <si>
    <t>Net Income</t>
  </si>
  <si>
    <r>
      <t>Adjustments</t>
    </r>
    <r>
      <rPr>
        <vertAlign val="subscript"/>
        <sz val="11"/>
        <color theme="1"/>
        <rFont val="Calibri"/>
        <family val="2"/>
        <scheme val="minor"/>
      </rPr>
      <t>1</t>
    </r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</si>
  <si>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Adjustments</t>
    </r>
  </si>
  <si>
    <t>Revenue Adjustment not persistent past three years.  Declines by 33.34% each year</t>
  </si>
  <si>
    <t>NWC and FA rate of change equal to initial sales forecast less proportional Adjustment values</t>
  </si>
  <si>
    <t>Firm Perspective (WACC; Without Adjusts)</t>
  </si>
  <si>
    <t>Investor Perspective (Required Return; With Adjusts)</t>
  </si>
  <si>
    <t>Required Return</t>
  </si>
  <si>
    <t>Total Debt</t>
  </si>
  <si>
    <t>Investor ROI (cash unchanged)</t>
  </si>
  <si>
    <t>Investor ROI (cash changed)</t>
  </si>
  <si>
    <t>Enterprise Value</t>
  </si>
  <si>
    <t>V = E + P + D</t>
  </si>
  <si>
    <t>Base Year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</si>
</sst>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$&quot;#,##0.00_);[Red]\(&quot;$&quot;#,##0.00\)"/>
    <numFmt numFmtId="43" formatCode="_(* #,##0.00_);_(* \(#,##0.00\);_(* &quot;-&quot;??_);_(@_)"/>
    <numFmt numFmtId="164" formatCode="0.0000"/>
    <numFmt numFmtId="165" formatCode="_(* #,##0_);_(* \(#,##0\);_(* &quot;-&quot;??_);_(@_)"/>
    <numFmt numFmtId="166" formatCode="&quot;$&quot;#,##0.00"/>
    <numFmt numFmtId="172" formatCode="_(* #,##0.000_);_(* \(#,##0.000\);_(* &quot;-&quot;??_);_(@_)"/>
    <numFmt numFmtId="173" formatCode="0.000%"/>
    <numFmt numFmtId="174" formatCode="0.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 applyAlignment="1">
      <alignment horizontal="center"/>
    </xf>
    <xf numFmtId="43" fontId="0" fillId="0" borderId="0" xfId="1" applyFont="1"/>
    <xf numFmtId="0" fontId="2" fillId="0" borderId="0" xfId="0" applyFont="1"/>
    <xf numFmtId="8" fontId="0" fillId="0" borderId="0" xfId="0" applyNumberFormat="1"/>
    <xf numFmtId="10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43" fontId="5" fillId="0" borderId="0" xfId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 applyAlignment="1">
      <alignment horizontal="center"/>
    </xf>
    <xf numFmtId="164" fontId="0" fillId="0" borderId="0" xfId="0" applyNumberFormat="1"/>
    <xf numFmtId="43" fontId="0" fillId="0" borderId="0" xfId="1" applyFont="1" applyAlignment="1">
      <alignment horizontal="center"/>
    </xf>
    <xf numFmtId="165" fontId="0" fillId="0" borderId="0" xfId="1" applyNumberFormat="1" applyFont="1"/>
    <xf numFmtId="165" fontId="0" fillId="0" borderId="0" xfId="0" applyNumberFormat="1"/>
    <xf numFmtId="166" fontId="0" fillId="0" borderId="0" xfId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9" fontId="0" fillId="0" borderId="0" xfId="2" applyFont="1"/>
    <xf numFmtId="10" fontId="0" fillId="0" borderId="0" xfId="2" applyNumberFormat="1" applyFont="1"/>
    <xf numFmtId="43" fontId="0" fillId="0" borderId="0" xfId="1" applyNumberFormat="1" applyFont="1"/>
    <xf numFmtId="172" fontId="0" fillId="0" borderId="0" xfId="1" applyNumberFormat="1" applyFont="1"/>
    <xf numFmtId="173" fontId="0" fillId="0" borderId="0" xfId="2" applyNumberFormat="1" applyFont="1"/>
    <xf numFmtId="0" fontId="0" fillId="0" borderId="0" xfId="0" applyAlignment="1">
      <alignment horizontal="right"/>
    </xf>
    <xf numFmtId="9" fontId="0" fillId="0" borderId="0" xfId="0" applyNumberFormat="1"/>
    <xf numFmtId="43" fontId="0" fillId="0" borderId="0" xfId="0" applyNumberFormat="1" applyFont="1" applyAlignment="1">
      <alignment horizontal="center"/>
    </xf>
    <xf numFmtId="10" fontId="0" fillId="0" borderId="0" xfId="2" applyNumberFormat="1" applyFont="1" applyAlignment="1">
      <alignment horizontal="center"/>
    </xf>
    <xf numFmtId="165" fontId="5" fillId="0" borderId="0" xfId="1" applyNumberFormat="1" applyFont="1"/>
    <xf numFmtId="0" fontId="0" fillId="0" borderId="0" xfId="0" applyFont="1"/>
    <xf numFmtId="10" fontId="0" fillId="0" borderId="0" xfId="0" applyNumberFormat="1"/>
    <xf numFmtId="0" fontId="2" fillId="0" borderId="0" xfId="0" applyFont="1" applyAlignment="1"/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1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top"/>
    </xf>
    <xf numFmtId="174" fontId="0" fillId="0" borderId="0" xfId="0" applyNumberFormat="1" applyAlignment="1">
      <alignment horizontal="center" vertical="top"/>
    </xf>
    <xf numFmtId="174" fontId="0" fillId="0" borderId="0" xfId="0" applyNumberFormat="1" applyAlignment="1">
      <alignment horizontal="center"/>
    </xf>
    <xf numFmtId="172" fontId="0" fillId="0" borderId="0" xfId="1" applyNumberFormat="1" applyFont="1" applyAlignment="1">
      <alignment horizontal="center" vertical="top"/>
    </xf>
    <xf numFmtId="164" fontId="0" fillId="0" borderId="0" xfId="0" applyNumberFormat="1" applyAlignment="1">
      <alignment horizontal="center" vertical="top"/>
    </xf>
    <xf numFmtId="0" fontId="1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textRotation="180"/>
    </xf>
    <xf numFmtId="174" fontId="0" fillId="0" borderId="0" xfId="0" applyNumberFormat="1"/>
    <xf numFmtId="2" fontId="11" fillId="0" borderId="0" xfId="0" applyNumberFormat="1" applyFont="1" applyAlignment="1">
      <alignment horizontal="center"/>
    </xf>
    <xf numFmtId="0" fontId="0" fillId="0" borderId="0" xfId="0" applyAlignment="1">
      <alignment horizontal="center" vertical="center" textRotation="180"/>
    </xf>
    <xf numFmtId="10" fontId="0" fillId="0" borderId="0" xfId="2" applyNumberFormat="1" applyFont="1" applyAlignment="1">
      <alignment horizontal="center" wrapText="1"/>
    </xf>
    <xf numFmtId="1" fontId="0" fillId="0" borderId="0" xfId="0" applyNumberFormat="1" applyAlignment="1">
      <alignment horizontal="center" vertical="top"/>
    </xf>
    <xf numFmtId="2" fontId="11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172" fontId="0" fillId="0" borderId="0" xfId="1" applyNumberFormat="1" applyFont="1" applyAlignment="1">
      <alignment horizontal="center"/>
    </xf>
    <xf numFmtId="10" fontId="12" fillId="0" borderId="0" xfId="2" applyNumberFormat="1" applyFont="1" applyAlignment="1"/>
    <xf numFmtId="10" fontId="0" fillId="0" borderId="0" xfId="2" applyNumberFormat="1" applyFont="1" applyAlignment="1">
      <alignment horizontal="center" vertical="top"/>
    </xf>
    <xf numFmtId="10" fontId="4" fillId="0" borderId="0" xfId="2" applyNumberFormat="1" applyFont="1" applyAlignment="1">
      <alignment horizontal="center"/>
    </xf>
    <xf numFmtId="43" fontId="4" fillId="0" borderId="0" xfId="1" applyFont="1" applyAlignment="1">
      <alignment horizontal="center"/>
    </xf>
    <xf numFmtId="10" fontId="0" fillId="2" borderId="0" xfId="2" applyNumberFormat="1" applyFont="1" applyFill="1" applyAlignment="1">
      <alignment horizontal="center"/>
    </xf>
    <xf numFmtId="165" fontId="5" fillId="2" borderId="0" xfId="1" applyNumberFormat="1" applyFont="1" applyFill="1"/>
    <xf numFmtId="165" fontId="0" fillId="2" borderId="0" xfId="1" applyNumberFormat="1" applyFont="1" applyFill="1"/>
    <xf numFmtId="10" fontId="0" fillId="2" borderId="0" xfId="2" applyNumberFormat="1" applyFont="1" applyFill="1"/>
    <xf numFmtId="0" fontId="0" fillId="2" borderId="0" xfId="0" applyFill="1"/>
    <xf numFmtId="43" fontId="0" fillId="2" borderId="0" xfId="1" applyFont="1" applyFill="1"/>
    <xf numFmtId="10" fontId="0" fillId="2" borderId="0" xfId="0" applyNumberFormat="1" applyFill="1"/>
    <xf numFmtId="10" fontId="0" fillId="0" borderId="0" xfId="2" applyNumberFormat="1" applyFont="1" applyFill="1"/>
    <xf numFmtId="0" fontId="0" fillId="2" borderId="0" xfId="0" applyFill="1" applyAlignment="1">
      <alignment horizontal="center"/>
    </xf>
    <xf numFmtId="10" fontId="0" fillId="2" borderId="1" xfId="2" applyNumberFormat="1" applyFont="1" applyFill="1" applyBorder="1" applyAlignment="1">
      <alignment horizontal="center"/>
    </xf>
    <xf numFmtId="10" fontId="4" fillId="2" borderId="0" xfId="2" applyNumberFormat="1" applyFont="1" applyFill="1" applyAlignment="1">
      <alignment horizontal="center"/>
    </xf>
    <xf numFmtId="10" fontId="0" fillId="0" borderId="0" xfId="2" applyNumberFormat="1" applyFont="1" applyFill="1" applyAlignment="1">
      <alignment horizontal="center"/>
    </xf>
    <xf numFmtId="9" fontId="0" fillId="2" borderId="0" xfId="0" applyNumberFormat="1" applyFill="1"/>
    <xf numFmtId="165" fontId="0" fillId="2" borderId="0" xfId="0" applyNumberFormat="1" applyFill="1"/>
    <xf numFmtId="165" fontId="1" fillId="2" borderId="0" xfId="1" applyNumberFormat="1" applyFont="1" applyFill="1" applyAlignment="1">
      <alignment horizontal="right"/>
    </xf>
    <xf numFmtId="174" fontId="0" fillId="0" borderId="0" xfId="0" applyNumberFormat="1" applyFill="1" applyAlignment="1">
      <alignment horizontal="center" vertical="top"/>
    </xf>
    <xf numFmtId="174" fontId="0" fillId="0" borderId="0" xfId="0" applyNumberFormat="1" applyFill="1" applyAlignment="1">
      <alignment horizontal="center"/>
    </xf>
    <xf numFmtId="172" fontId="0" fillId="0" borderId="0" xfId="1" applyNumberFormat="1" applyFont="1" applyFill="1" applyAlignment="1">
      <alignment horizontal="center"/>
    </xf>
    <xf numFmtId="172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172" fontId="0" fillId="0" borderId="0" xfId="1" applyNumberFormat="1" applyFont="1" applyFill="1" applyAlignment="1">
      <alignment horizontal="center" vertical="top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75BAFF"/>
      <color rgb="FFF0F0F0"/>
      <color rgb="FF99CCFF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581025</xdr:colOff>
      <xdr:row>28</xdr:row>
      <xdr:rowOff>123825</xdr:rowOff>
    </xdr:from>
    <xdr:ext cx="4231351" cy="1190625"/>
    <xdr:sp macro="" textlink="">
      <xdr:nvSpPr>
        <xdr:cNvPr id="2" name="TextBox 1"/>
        <xdr:cNvSpPr txBox="1"/>
      </xdr:nvSpPr>
      <xdr:spPr>
        <a:xfrm>
          <a:off x="6524625" y="5457825"/>
          <a:ext cx="4231351" cy="1190625"/>
        </a:xfrm>
        <a:prstGeom prst="rect">
          <a:avLst/>
        </a:prstGeom>
        <a:solidFill>
          <a:srgbClr val="F0F0F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1100"/>
        </a:p>
        <a:p>
          <a:r>
            <a:rPr lang="en-US" sz="1100" b="1"/>
            <a:t>Items in shaded</a:t>
          </a:r>
          <a:r>
            <a:rPr lang="en-US" sz="1100" b="1" baseline="0"/>
            <a:t> in </a:t>
          </a:r>
          <a:r>
            <a:rPr lang="en-US" sz="1100" b="1">
              <a:solidFill>
                <a:srgbClr val="75BAFF"/>
              </a:solidFill>
            </a:rPr>
            <a:t>blue</a:t>
          </a:r>
          <a:r>
            <a:rPr lang="en-US" sz="1100" b="1"/>
            <a:t> must be input</a:t>
          </a:r>
          <a:r>
            <a:rPr lang="en-US" sz="1100" b="1" baseline="0"/>
            <a:t> - all other values are formulaic</a:t>
          </a:r>
          <a:br>
            <a:rPr lang="en-US" sz="1100" b="1" baseline="0"/>
          </a:br>
          <a:endParaRPr lang="en-US" sz="1100" b="1" baseline="0"/>
        </a:p>
        <a:p>
          <a:r>
            <a:rPr lang="en-US" sz="1100" b="1" baseline="0"/>
            <a:t>The number of years (periods) in the explicit forcast period may need</a:t>
          </a:r>
        </a:p>
        <a:p>
          <a:r>
            <a:rPr lang="en-US" sz="1100" b="1" baseline="0"/>
            <a:t>adjustment depending on specifics of subject firm under consideration</a:t>
          </a:r>
          <a:br>
            <a:rPr lang="en-US" sz="1100" b="1" baseline="0"/>
          </a:br>
          <a:r>
            <a:rPr lang="en-US" sz="1100" baseline="0"/>
            <a:t/>
          </a:r>
          <a:br>
            <a:rPr lang="en-US" sz="1100" baseline="0"/>
          </a:br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28575</xdr:colOff>
      <xdr:row>2</xdr:row>
      <xdr:rowOff>0</xdr:rowOff>
    </xdr:from>
    <xdr:ext cx="4231351" cy="1190625"/>
    <xdr:sp macro="" textlink="">
      <xdr:nvSpPr>
        <xdr:cNvPr id="2" name="TextBox 1"/>
        <xdr:cNvSpPr txBox="1"/>
      </xdr:nvSpPr>
      <xdr:spPr>
        <a:xfrm>
          <a:off x="3552825" y="381000"/>
          <a:ext cx="4231351" cy="1190625"/>
        </a:xfrm>
        <a:prstGeom prst="rect">
          <a:avLst/>
        </a:prstGeom>
        <a:solidFill>
          <a:srgbClr val="F0F0F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1100"/>
        </a:p>
        <a:p>
          <a:r>
            <a:rPr lang="en-US" sz="1100" b="1"/>
            <a:t>Items in shaded</a:t>
          </a:r>
          <a:r>
            <a:rPr lang="en-US" sz="1100" b="1" baseline="0"/>
            <a:t> in </a:t>
          </a:r>
          <a:r>
            <a:rPr lang="en-US" sz="1100" b="1">
              <a:solidFill>
                <a:srgbClr val="75BAFF"/>
              </a:solidFill>
            </a:rPr>
            <a:t>blue</a:t>
          </a:r>
          <a:r>
            <a:rPr lang="en-US" sz="1100" b="1"/>
            <a:t> must be input</a:t>
          </a:r>
          <a:r>
            <a:rPr lang="en-US" sz="1100" b="1" baseline="0"/>
            <a:t> - all other values are formulaic</a:t>
          </a:r>
          <a:br>
            <a:rPr lang="en-US" sz="1100" b="1" baseline="0"/>
          </a:br>
          <a:endParaRPr lang="en-US" sz="1100" b="1" baseline="0"/>
        </a:p>
        <a:p>
          <a:r>
            <a:rPr lang="en-US" sz="1100" b="1" baseline="0"/>
            <a:t>The number of years (periods) in the explicit forcast period may need</a:t>
          </a:r>
        </a:p>
        <a:p>
          <a:r>
            <a:rPr lang="en-US" sz="1100" b="1" baseline="0"/>
            <a:t>adjustment depending on specifics of subject firm under consideration</a:t>
          </a:r>
          <a:br>
            <a:rPr lang="en-US" sz="1100" b="1" baseline="0"/>
          </a:br>
          <a:r>
            <a:rPr lang="en-US" sz="1100" baseline="0"/>
            <a:t/>
          </a:r>
          <a:br>
            <a:rPr lang="en-US" sz="1100" baseline="0"/>
          </a:br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9525</xdr:rowOff>
    </xdr:from>
    <xdr:ext cx="4231351" cy="1190625"/>
    <xdr:sp macro="" textlink="">
      <xdr:nvSpPr>
        <xdr:cNvPr id="2" name="TextBox 1"/>
        <xdr:cNvSpPr txBox="1"/>
      </xdr:nvSpPr>
      <xdr:spPr>
        <a:xfrm>
          <a:off x="3524250" y="390525"/>
          <a:ext cx="4231351" cy="1190625"/>
        </a:xfrm>
        <a:prstGeom prst="rect">
          <a:avLst/>
        </a:prstGeom>
        <a:solidFill>
          <a:srgbClr val="F0F0F0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1100"/>
        </a:p>
        <a:p>
          <a:r>
            <a:rPr lang="en-US" sz="1100" b="1"/>
            <a:t>Items in shaded</a:t>
          </a:r>
          <a:r>
            <a:rPr lang="en-US" sz="1100" b="1" baseline="0"/>
            <a:t> in </a:t>
          </a:r>
          <a:r>
            <a:rPr lang="en-US" sz="1100" b="1">
              <a:solidFill>
                <a:srgbClr val="75BAFF"/>
              </a:solidFill>
            </a:rPr>
            <a:t>blue</a:t>
          </a:r>
          <a:r>
            <a:rPr lang="en-US" sz="1100" b="1"/>
            <a:t> must be input</a:t>
          </a:r>
          <a:r>
            <a:rPr lang="en-US" sz="1100" b="1" baseline="0"/>
            <a:t> - all other values are formulaic</a:t>
          </a:r>
          <a:br>
            <a:rPr lang="en-US" sz="1100" b="1" baseline="0"/>
          </a:br>
          <a:endParaRPr lang="en-US" sz="1100" b="1" baseline="0"/>
        </a:p>
        <a:p>
          <a:r>
            <a:rPr lang="en-US" sz="1100" b="1" baseline="0"/>
            <a:t>The number of years (periods) in the explicit forcast period may need</a:t>
          </a:r>
        </a:p>
        <a:p>
          <a:r>
            <a:rPr lang="en-US" sz="1100" b="1" baseline="0"/>
            <a:t>adjustment depending on specifics of subject firm under consideration</a:t>
          </a:r>
          <a:br>
            <a:rPr lang="en-US" sz="1100" b="1" baseline="0"/>
          </a:br>
          <a:r>
            <a:rPr lang="en-US" sz="1100" baseline="0"/>
            <a:t/>
          </a:r>
          <a:br>
            <a:rPr lang="en-US" sz="1100" baseline="0"/>
          </a:br>
          <a:endParaRPr lang="en-US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haskell\OneDrive\EXCEL%20TEMPLATES\Fin%20Stmt%20and%20Val%20Template%20simplifil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Stmt"/>
      <sheetName val="VAL without Adjusts"/>
      <sheetName val="VAL with Adjusts"/>
      <sheetName val="VAL without Adjusts -simplified"/>
      <sheetName val="Tax Schedule"/>
    </sheetNames>
    <sheetDataSet>
      <sheetData sheetId="0">
        <row r="6">
          <cell r="D6">
            <v>2015</v>
          </cell>
          <cell r="E6">
            <v>2016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9"/>
  <sheetViews>
    <sheetView tabSelected="1" workbookViewId="0">
      <selection activeCell="J26" sqref="J26"/>
    </sheetView>
  </sheetViews>
  <sheetFormatPr defaultRowHeight="15" x14ac:dyDescent="0.25"/>
  <cols>
    <col min="1" max="1" width="5.7109375" customWidth="1"/>
    <col min="2" max="2" width="15.7109375" customWidth="1"/>
    <col min="3" max="4" width="17.7109375" customWidth="1"/>
    <col min="5" max="5" width="3.7109375" customWidth="1"/>
    <col min="7" max="7" width="3.7109375" customWidth="1"/>
    <col min="8" max="8" width="15.7109375" customWidth="1"/>
    <col min="9" max="9" width="18.7109375" customWidth="1"/>
    <col min="10" max="10" width="17.7109375" customWidth="1"/>
    <col min="11" max="11" width="14.28515625" bestFit="1" customWidth="1"/>
    <col min="12" max="12" width="8.7109375" customWidth="1"/>
    <col min="13" max="13" width="12.7109375" customWidth="1"/>
    <col min="14" max="14" width="3.7109375" customWidth="1"/>
    <col min="15" max="15" width="17" bestFit="1" customWidth="1"/>
    <col min="16" max="16" width="14.5703125" bestFit="1" customWidth="1"/>
    <col min="17" max="17" width="15" bestFit="1" customWidth="1"/>
    <col min="18" max="18" width="17" bestFit="1" customWidth="1"/>
    <col min="19" max="19" width="13.28515625" bestFit="1" customWidth="1"/>
    <col min="20" max="20" width="12.7109375" customWidth="1"/>
    <col min="21" max="21" width="11.5703125" bestFit="1" customWidth="1"/>
  </cols>
  <sheetData>
    <row r="1" spans="1:22" ht="15" customHeight="1" x14ac:dyDescent="0.25">
      <c r="A1" s="22" t="s">
        <v>26</v>
      </c>
      <c r="B1" s="22"/>
      <c r="C1" s="22"/>
      <c r="D1" s="22"/>
      <c r="E1" s="22"/>
    </row>
    <row r="2" spans="1:22" ht="15" customHeight="1" x14ac:dyDescent="0.25">
      <c r="A2" s="20"/>
      <c r="B2" s="20"/>
      <c r="C2" s="20"/>
      <c r="D2" s="20"/>
      <c r="E2" s="20"/>
    </row>
    <row r="3" spans="1:22" ht="15" customHeight="1" x14ac:dyDescent="0.25">
      <c r="A3" s="22" t="s">
        <v>81</v>
      </c>
      <c r="B3" s="22"/>
      <c r="C3" s="22"/>
      <c r="D3" s="22"/>
      <c r="G3" s="22" t="s">
        <v>80</v>
      </c>
      <c r="H3" s="22"/>
      <c r="I3" s="22"/>
      <c r="J3" s="22"/>
      <c r="L3" s="22" t="s">
        <v>20</v>
      </c>
      <c r="M3" s="22"/>
      <c r="N3" s="22"/>
      <c r="O3" s="22"/>
      <c r="P3" s="22"/>
      <c r="R3" s="22"/>
      <c r="S3" s="22"/>
      <c r="T3" s="22"/>
      <c r="U3" s="22"/>
      <c r="V3" s="22"/>
    </row>
    <row r="4" spans="1:22" ht="15" customHeight="1" x14ac:dyDescent="0.25">
      <c r="B4" s="8" t="s">
        <v>82</v>
      </c>
      <c r="C4" s="72">
        <v>0.13</v>
      </c>
      <c r="H4" s="10" t="s">
        <v>10</v>
      </c>
      <c r="I4" s="31">
        <f>P16</f>
        <v>8.7568109530707511E-2</v>
      </c>
      <c r="L4" s="3" t="s">
        <v>6</v>
      </c>
      <c r="M4" s="14">
        <f>S21</f>
        <v>36300000</v>
      </c>
      <c r="O4" s="3" t="s">
        <v>11</v>
      </c>
      <c r="P4" s="27">
        <f>M4/$M$7</f>
        <v>0.69226716190505355</v>
      </c>
      <c r="R4" s="3" t="s">
        <v>31</v>
      </c>
      <c r="S4" s="74">
        <v>10000000</v>
      </c>
      <c r="U4" s="3"/>
      <c r="V4" s="12"/>
    </row>
    <row r="5" spans="1:22" ht="15" customHeight="1" x14ac:dyDescent="0.35">
      <c r="B5" s="20" t="s">
        <v>40</v>
      </c>
      <c r="C5" s="72">
        <v>0.04</v>
      </c>
      <c r="H5" s="10" t="s">
        <v>40</v>
      </c>
      <c r="I5" s="31">
        <f>C5</f>
        <v>0.04</v>
      </c>
      <c r="L5" s="3" t="s">
        <v>7</v>
      </c>
      <c r="M5" s="14">
        <f>S22</f>
        <v>5400000</v>
      </c>
      <c r="O5" s="3" t="s">
        <v>12</v>
      </c>
      <c r="P5" s="27">
        <f>M5/$M$7</f>
        <v>0.10298189185364433</v>
      </c>
      <c r="R5" s="3" t="s">
        <v>27</v>
      </c>
      <c r="S5" s="75">
        <v>7.1999999999999995E-2</v>
      </c>
      <c r="U5" s="3"/>
      <c r="V5" s="12"/>
    </row>
    <row r="6" spans="1:22" ht="15" customHeight="1" x14ac:dyDescent="0.25">
      <c r="B6" s="20" t="s">
        <v>88</v>
      </c>
      <c r="C6" s="80">
        <v>2016</v>
      </c>
      <c r="L6" s="3" t="s">
        <v>9</v>
      </c>
      <c r="M6" s="14">
        <f>S23</f>
        <v>10736403.165659113</v>
      </c>
      <c r="O6" s="3" t="s">
        <v>13</v>
      </c>
      <c r="P6" s="27">
        <f>M6/$M$7</f>
        <v>0.20475094624130211</v>
      </c>
      <c r="R6" s="3" t="s">
        <v>28</v>
      </c>
      <c r="S6" s="76">
        <v>2</v>
      </c>
      <c r="U6" s="3"/>
      <c r="V6" s="12"/>
    </row>
    <row r="7" spans="1:22" ht="15" customHeight="1" x14ac:dyDescent="0.25">
      <c r="L7" s="3" t="s">
        <v>8</v>
      </c>
      <c r="M7" s="15">
        <f>SUM(M4:M6)</f>
        <v>52436403.165659115</v>
      </c>
      <c r="R7" s="3" t="s">
        <v>29</v>
      </c>
      <c r="S7" s="76">
        <v>18</v>
      </c>
    </row>
    <row r="8" spans="1:22" ht="15" customHeight="1" x14ac:dyDescent="0.35">
      <c r="B8" s="21" t="s">
        <v>43</v>
      </c>
      <c r="C8" s="73">
        <v>55000000</v>
      </c>
      <c r="H8" s="21" t="s">
        <v>43</v>
      </c>
      <c r="I8" s="32">
        <f>C8</f>
        <v>55000000</v>
      </c>
      <c r="L8" s="3"/>
      <c r="M8" s="15"/>
      <c r="R8" s="3" t="s">
        <v>30</v>
      </c>
      <c r="S8" s="75">
        <v>6.5000000000000002E-2</v>
      </c>
    </row>
    <row r="9" spans="1:22" ht="15" customHeight="1" x14ac:dyDescent="0.25">
      <c r="B9" s="18"/>
      <c r="C9" s="7"/>
      <c r="H9" s="10"/>
      <c r="I9" s="1"/>
      <c r="L9" s="3"/>
      <c r="M9" s="15"/>
      <c r="R9" s="3" t="s">
        <v>32</v>
      </c>
      <c r="S9" s="77">
        <v>1000</v>
      </c>
    </row>
    <row r="10" spans="1:22" ht="15" customHeight="1" x14ac:dyDescent="0.25">
      <c r="A10" s="3"/>
      <c r="C10" s="7"/>
      <c r="D10" s="7"/>
      <c r="G10" s="3"/>
      <c r="I10" s="7"/>
      <c r="J10" s="7"/>
    </row>
    <row r="11" spans="1:22" ht="15" customHeight="1" x14ac:dyDescent="0.25">
      <c r="A11" s="3">
        <v>1</v>
      </c>
      <c r="B11" s="2">
        <f>'VAL with Investor Adjusts'!P11*1000000</f>
        <v>2731999.9999999939</v>
      </c>
      <c r="C11" s="2">
        <f>B11/((1+C$4)^A11)</f>
        <v>2417699.1150442427</v>
      </c>
      <c r="D11" s="2">
        <f>D10+C11</f>
        <v>2417699.1150442427</v>
      </c>
      <c r="G11" s="3">
        <v>1</v>
      </c>
      <c r="H11" s="2">
        <f>'VAL without adjusts'!P11*1000000</f>
        <v>2731999.9999999939</v>
      </c>
      <c r="I11" s="2">
        <f>H11/((1+I$4)^G11)</f>
        <v>2512026.5811939533</v>
      </c>
      <c r="J11" s="2">
        <f>J10+I11</f>
        <v>2512026.5811939533</v>
      </c>
      <c r="L11" s="3"/>
      <c r="O11" s="22" t="s">
        <v>21</v>
      </c>
      <c r="P11" s="22"/>
      <c r="R11" s="3" t="s">
        <v>37</v>
      </c>
      <c r="S11" s="4">
        <f>-PV(S8/S6,S7*S6,S9*S5/S6,S9)</f>
        <v>1073.6403165659112</v>
      </c>
    </row>
    <row r="12" spans="1:22" ht="15" customHeight="1" x14ac:dyDescent="0.35">
      <c r="A12" s="3">
        <v>2</v>
      </c>
      <c r="B12" s="2">
        <f>'VAL with Investor Adjusts'!P12*1000000</f>
        <v>4460115.9999999991</v>
      </c>
      <c r="C12" s="2">
        <f>B12/((1+C$4)^A12)</f>
        <v>3492925.0528624011</v>
      </c>
      <c r="D12" s="2">
        <f t="shared" ref="D12:D15" si="0">D11+C12</f>
        <v>5910624.1679066438</v>
      </c>
      <c r="G12" s="3">
        <v>2</v>
      </c>
      <c r="H12" s="2">
        <f>'VAL without adjusts'!P12*1000000</f>
        <v>2412279.9999999953</v>
      </c>
      <c r="I12" s="2">
        <f>H12/((1+I$4)^G12)</f>
        <v>2039458.1002108282</v>
      </c>
      <c r="J12" s="2">
        <f>J11+I12</f>
        <v>4551484.6814047815</v>
      </c>
      <c r="L12" s="3" t="s">
        <v>14</v>
      </c>
      <c r="M12" s="24">
        <v>2.4500000000000001E-2</v>
      </c>
      <c r="O12" s="3" t="s">
        <v>17</v>
      </c>
      <c r="P12" s="24">
        <f>$M$12+((M13-$M$12)*M14)</f>
        <v>9.6549999999999997E-2</v>
      </c>
      <c r="R12" s="3"/>
      <c r="T12" s="20"/>
      <c r="U12" s="20"/>
    </row>
    <row r="13" spans="1:22" ht="15" customHeight="1" x14ac:dyDescent="0.35">
      <c r="A13" s="3">
        <v>3</v>
      </c>
      <c r="B13" s="2">
        <f>'VAL with Investor Adjusts'!P13*1000000</f>
        <v>5452100.1296000229</v>
      </c>
      <c r="C13" s="2">
        <f>B13/((1+C$4)^A13)</f>
        <v>3778578.8795735422</v>
      </c>
      <c r="D13" s="2">
        <f t="shared" si="0"/>
        <v>9689203.0474801864</v>
      </c>
      <c r="G13" s="3">
        <v>3</v>
      </c>
      <c r="H13" s="2">
        <f>'VAL without adjusts'!P13*1000000</f>
        <v>2508771.1999999983</v>
      </c>
      <c r="I13" s="2">
        <f>H13/((1+I$4)^G13)</f>
        <v>1950256.1776425247</v>
      </c>
      <c r="J13" s="2">
        <f>J12+I13</f>
        <v>6501740.8590473067</v>
      </c>
      <c r="L13" s="3" t="s">
        <v>16</v>
      </c>
      <c r="M13" s="24">
        <v>0.09</v>
      </c>
      <c r="O13" s="3" t="s">
        <v>18</v>
      </c>
      <c r="P13" s="24">
        <f>S14/R22</f>
        <v>0.11600000000000001</v>
      </c>
      <c r="R13" s="3" t="s">
        <v>38</v>
      </c>
      <c r="S13" s="75">
        <f>0.116</f>
        <v>0.11600000000000001</v>
      </c>
    </row>
    <row r="14" spans="1:22" ht="15" customHeight="1" x14ac:dyDescent="0.35">
      <c r="A14" s="3">
        <v>4</v>
      </c>
      <c r="B14" s="2">
        <f>'VAL with Investor Adjusts'!P14*1000000</f>
        <v>6527633.6187116839</v>
      </c>
      <c r="C14" s="2">
        <f>B14/((1+C$4)^A14)</f>
        <v>4003519.9457853762</v>
      </c>
      <c r="D14" s="2">
        <f>D13+C14</f>
        <v>13692722.993265562</v>
      </c>
      <c r="G14" s="3">
        <v>4</v>
      </c>
      <c r="H14" s="2">
        <f>'VAL without adjusts'!P14*1000000</f>
        <v>2609122.0480000158</v>
      </c>
      <c r="I14" s="2">
        <f>H14/((1+I$4)^G14)</f>
        <v>1864955.7733202097</v>
      </c>
      <c r="J14" s="2">
        <f>J13+I14</f>
        <v>8366696.6323675159</v>
      </c>
      <c r="L14" s="3" t="s">
        <v>15</v>
      </c>
      <c r="M14" s="25">
        <v>1.1000000000000001</v>
      </c>
      <c r="O14" s="3" t="s">
        <v>19</v>
      </c>
      <c r="P14" s="24">
        <f>S8</f>
        <v>6.5000000000000002E-2</v>
      </c>
      <c r="R14" s="3" t="s">
        <v>39</v>
      </c>
      <c r="S14" s="26">
        <f>S13*R22</f>
        <v>1.044</v>
      </c>
    </row>
    <row r="15" spans="1:22" ht="15" customHeight="1" x14ac:dyDescent="0.25">
      <c r="A15" s="3">
        <v>5</v>
      </c>
      <c r="B15" s="2">
        <f>'VAL with Investor Adjusts'!P15*1000000</f>
        <v>7675481.5218829913</v>
      </c>
      <c r="C15" s="2">
        <f>B15/((1+C$4)^A15)</f>
        <v>4165943.8595821625</v>
      </c>
      <c r="D15" s="2">
        <f t="shared" si="0"/>
        <v>17858666.852847725</v>
      </c>
      <c r="G15" s="3">
        <v>5</v>
      </c>
      <c r="H15" s="2">
        <f>'VAL without adjusts'!P15*1000000</f>
        <v>2713486.9299199698</v>
      </c>
      <c r="I15" s="2">
        <f>H15/((1+I$4)^G15)</f>
        <v>1783386.2424394868</v>
      </c>
      <c r="J15" s="2">
        <f>J14+I15</f>
        <v>10150082.874807002</v>
      </c>
      <c r="L15" s="3"/>
      <c r="M15" s="24"/>
      <c r="R15" s="3"/>
      <c r="S15" s="24"/>
    </row>
    <row r="16" spans="1:22" ht="15" customHeight="1" x14ac:dyDescent="0.25">
      <c r="A16" s="3">
        <v>6</v>
      </c>
      <c r="B16" s="2">
        <f>'VAL with Investor Adjusts'!P16*1000000</f>
        <v>8984401.2130461968</v>
      </c>
      <c r="C16" s="2"/>
      <c r="D16" s="2"/>
      <c r="G16" s="3">
        <v>6</v>
      </c>
      <c r="H16" s="2">
        <f>'VAL without adjusts'!P16*1000000</f>
        <v>2822026.4071168043</v>
      </c>
      <c r="I16" s="2"/>
      <c r="J16" s="2"/>
      <c r="O16" s="3" t="s">
        <v>10</v>
      </c>
      <c r="P16" s="24">
        <f>(P12*P4)+(P13*P5)+((P14*P6)*(1-S18))</f>
        <v>8.7568109530707511E-2</v>
      </c>
      <c r="R16" s="28" t="s">
        <v>69</v>
      </c>
      <c r="S16" s="78">
        <v>0.34</v>
      </c>
    </row>
    <row r="17" spans="1:19" ht="15" customHeight="1" x14ac:dyDescent="0.25">
      <c r="A17" s="3"/>
      <c r="B17" s="2"/>
      <c r="C17" s="2"/>
      <c r="D17" s="2"/>
      <c r="G17" s="3"/>
      <c r="H17" s="2"/>
      <c r="I17" s="2"/>
      <c r="J17" s="2"/>
      <c r="L17" s="3"/>
      <c r="M17" s="25"/>
      <c r="R17" s="28" t="s">
        <v>54</v>
      </c>
      <c r="S17" s="78">
        <v>0.34</v>
      </c>
    </row>
    <row r="18" spans="1:19" ht="15" customHeight="1" x14ac:dyDescent="0.25">
      <c r="A18" s="3"/>
      <c r="B18" s="9" t="s">
        <v>0</v>
      </c>
      <c r="C18" s="5">
        <f>IRR(B29:B35)</f>
        <v>0.18354838883698243</v>
      </c>
      <c r="D18" s="8"/>
      <c r="H18" s="10" t="s">
        <v>0</v>
      </c>
      <c r="I18" s="5">
        <f>IRR(H29:H35)</f>
        <v>5.9055945979794133E-2</v>
      </c>
      <c r="J18" s="10"/>
      <c r="L18" s="21" t="s">
        <v>35</v>
      </c>
      <c r="M18" s="74">
        <v>6500000</v>
      </c>
      <c r="R18" s="28" t="s">
        <v>55</v>
      </c>
      <c r="S18" s="78">
        <v>0.34</v>
      </c>
    </row>
    <row r="19" spans="1:19" ht="15" customHeight="1" x14ac:dyDescent="0.25">
      <c r="A19" s="3"/>
      <c r="B19" s="9" t="s">
        <v>1</v>
      </c>
      <c r="C19" s="11">
        <f>C24-C8</f>
        <v>10807270.858612955</v>
      </c>
      <c r="H19" s="10" t="s">
        <v>1</v>
      </c>
      <c r="I19" s="13">
        <f>I24-I8</f>
        <v>-8998494.3822653741</v>
      </c>
      <c r="L19" s="21" t="s">
        <v>36</v>
      </c>
      <c r="M19" s="74">
        <v>3200000</v>
      </c>
    </row>
    <row r="20" spans="1:19" ht="15" customHeight="1" x14ac:dyDescent="0.25">
      <c r="A20" s="3"/>
      <c r="B20" s="9"/>
      <c r="C20" s="6"/>
      <c r="H20" s="10"/>
      <c r="I20" s="71"/>
      <c r="L20" s="21" t="str">
        <f>($C$6-1)&amp;" Debt"</f>
        <v>2015 Debt</v>
      </c>
      <c r="M20" s="85">
        <f>S4</f>
        <v>10000000</v>
      </c>
      <c r="Q20" s="21" t="s">
        <v>24</v>
      </c>
      <c r="R20" s="21" t="s">
        <v>25</v>
      </c>
      <c r="S20" s="21" t="s">
        <v>22</v>
      </c>
    </row>
    <row r="21" spans="1:19" ht="15" customHeight="1" x14ac:dyDescent="0.35">
      <c r="A21" s="3"/>
      <c r="B21" s="9" t="s">
        <v>2</v>
      </c>
      <c r="C21" s="13">
        <f>D15</f>
        <v>17858666.852847725</v>
      </c>
      <c r="D21" s="8"/>
      <c r="H21" s="10" t="s">
        <v>2</v>
      </c>
      <c r="I21" s="13">
        <f>J15</f>
        <v>10150082.874807002</v>
      </c>
      <c r="J21" s="10"/>
      <c r="L21" s="21" t="str">
        <f>($C$6-1)&amp;" NWC"</f>
        <v>2015 NWC</v>
      </c>
      <c r="M21" s="74">
        <v>31200000</v>
      </c>
      <c r="P21" s="21" t="s">
        <v>33</v>
      </c>
      <c r="Q21" s="74">
        <v>11000000</v>
      </c>
      <c r="R21" s="77">
        <v>3.3</v>
      </c>
      <c r="S21" s="14">
        <f>R21*Q21</f>
        <v>36300000</v>
      </c>
    </row>
    <row r="22" spans="1:19" ht="15" customHeight="1" x14ac:dyDescent="0.35">
      <c r="A22" s="3"/>
      <c r="B22" s="9" t="s">
        <v>41</v>
      </c>
      <c r="C22" s="13">
        <f>B16/(C4-C5)</f>
        <v>99826680.144957751</v>
      </c>
      <c r="H22" s="20" t="s">
        <v>41</v>
      </c>
      <c r="I22" s="13">
        <f>H16/(I4-I5)</f>
        <v>59326015.579724692</v>
      </c>
      <c r="L22" s="21" t="str">
        <f>($C$6-1)&amp;" FA"</f>
        <v>2015 FA</v>
      </c>
      <c r="M22" s="74">
        <v>55600000</v>
      </c>
      <c r="P22" s="21" t="s">
        <v>34</v>
      </c>
      <c r="Q22" s="74">
        <v>600000</v>
      </c>
      <c r="R22" s="77">
        <v>9</v>
      </c>
      <c r="S22" s="14">
        <f>R22*Q22</f>
        <v>5400000</v>
      </c>
    </row>
    <row r="23" spans="1:19" ht="15" customHeight="1" x14ac:dyDescent="0.35">
      <c r="A23" s="3"/>
      <c r="B23" s="9" t="s">
        <v>3</v>
      </c>
      <c r="C23" s="13">
        <f>C22/((1+C4)^A16)</f>
        <v>47948604.005765229</v>
      </c>
      <c r="H23" s="10" t="s">
        <v>3</v>
      </c>
      <c r="I23" s="13">
        <f>I22/((1+I4)^G16)</f>
        <v>35851422.742927626</v>
      </c>
      <c r="L23" s="21" t="str">
        <f>$C$6&amp;" Revenue"</f>
        <v>2016 Revenue</v>
      </c>
      <c r="M23" s="86">
        <v>253640000</v>
      </c>
      <c r="P23" s="21" t="s">
        <v>23</v>
      </c>
      <c r="Q23" s="14">
        <f>S4/S9</f>
        <v>10000</v>
      </c>
      <c r="R23" s="2">
        <f>-PV(S8/S6,S7*S6,S9*S5/S6,S9)</f>
        <v>1073.6403165659112</v>
      </c>
      <c r="S23" s="14">
        <f>R23*Q23</f>
        <v>10736403.165659113</v>
      </c>
    </row>
    <row r="24" spans="1:19" ht="15" customHeight="1" x14ac:dyDescent="0.35">
      <c r="B24" s="9" t="s">
        <v>4</v>
      </c>
      <c r="C24" s="13">
        <f>C21+C23</f>
        <v>65807270.858612955</v>
      </c>
      <c r="H24" s="10" t="s">
        <v>4</v>
      </c>
      <c r="I24" s="13">
        <f>I21+I23</f>
        <v>46001505.617734626</v>
      </c>
      <c r="L24" s="21" t="str">
        <f>$C$6&amp;" Operating Exp (less Dep &amp; Am)"</f>
        <v>2016 Operating Exp (less Dep &amp; Am)</v>
      </c>
      <c r="M24" s="86">
        <v>241000000</v>
      </c>
      <c r="P24" s="21" t="s">
        <v>87</v>
      </c>
      <c r="S24" s="15">
        <f>SUM(S21:S23)</f>
        <v>52436403.165659115</v>
      </c>
    </row>
    <row r="25" spans="1:19" ht="15" customHeight="1" x14ac:dyDescent="0.25">
      <c r="B25" s="20"/>
      <c r="C25" s="13"/>
      <c r="H25" s="20"/>
      <c r="I25" s="16"/>
      <c r="L25" s="21" t="str">
        <f>$C$6&amp;" Depreciation"</f>
        <v>2016 Depreciation</v>
      </c>
      <c r="M25" s="86">
        <v>3890000</v>
      </c>
      <c r="P25" s="21" t="s">
        <v>86</v>
      </c>
      <c r="S25" s="15">
        <f>S21+S22+S23-M18</f>
        <v>45936403.165659115</v>
      </c>
    </row>
    <row r="26" spans="1:19" ht="15" customHeight="1" x14ac:dyDescent="0.25">
      <c r="B26" s="4"/>
      <c r="I26" s="2"/>
      <c r="K26" s="19"/>
      <c r="L26" s="21" t="str">
        <f>$C$6&amp;" NWC"</f>
        <v>2016 NWC</v>
      </c>
      <c r="M26" s="86">
        <v>32913000</v>
      </c>
    </row>
    <row r="27" spans="1:19" ht="15" customHeight="1" x14ac:dyDescent="0.25">
      <c r="H27" s="17"/>
      <c r="I27" s="2"/>
      <c r="L27" s="21" t="str">
        <f>$C$6&amp;" FA"</f>
        <v>2016 FA</v>
      </c>
      <c r="M27" s="86">
        <v>56930000</v>
      </c>
      <c r="N27" s="35"/>
      <c r="O27" s="22" t="s">
        <v>44</v>
      </c>
      <c r="P27" s="22"/>
      <c r="Q27" s="22"/>
      <c r="R27" s="35"/>
      <c r="S27" s="35"/>
    </row>
    <row r="28" spans="1:19" ht="15" customHeight="1" x14ac:dyDescent="0.25">
      <c r="B28" s="20" t="s">
        <v>42</v>
      </c>
      <c r="H28" s="20" t="s">
        <v>42</v>
      </c>
      <c r="I28" s="2"/>
      <c r="L28" s="21"/>
      <c r="M28" s="14"/>
    </row>
    <row r="29" spans="1:19" ht="15" customHeight="1" x14ac:dyDescent="0.25">
      <c r="A29" s="3">
        <v>0</v>
      </c>
      <c r="B29" s="30">
        <f>-C8</f>
        <v>-55000000</v>
      </c>
      <c r="G29" s="3">
        <v>0</v>
      </c>
      <c r="H29" s="30">
        <f>-I8</f>
        <v>-55000000</v>
      </c>
      <c r="I29" s="2"/>
      <c r="L29" s="21"/>
      <c r="M29" s="14"/>
      <c r="N29" s="66"/>
      <c r="O29" t="s">
        <v>45</v>
      </c>
      <c r="Q29" s="15">
        <f>C8</f>
        <v>55000000</v>
      </c>
    </row>
    <row r="30" spans="1:19" ht="15" customHeight="1" x14ac:dyDescent="0.25">
      <c r="A30" s="3">
        <f>A11</f>
        <v>1</v>
      </c>
      <c r="B30" s="19">
        <f>B11</f>
        <v>2731999.9999999939</v>
      </c>
      <c r="G30" s="3">
        <f>G11</f>
        <v>1</v>
      </c>
      <c r="H30" s="19">
        <f>H11</f>
        <v>2731999.9999999939</v>
      </c>
      <c r="I30" s="2"/>
      <c r="L30" s="21"/>
      <c r="M30" s="14"/>
      <c r="O30" t="s">
        <v>46</v>
      </c>
    </row>
    <row r="31" spans="1:19" ht="15" customHeight="1" x14ac:dyDescent="0.25">
      <c r="A31" s="3">
        <f t="shared" ref="A31:B31" si="1">A12</f>
        <v>2</v>
      </c>
      <c r="B31" s="19">
        <f t="shared" si="1"/>
        <v>4460115.9999999991</v>
      </c>
      <c r="G31" s="3">
        <f t="shared" ref="G31:H31" si="2">G12</f>
        <v>2</v>
      </c>
      <c r="H31" s="19">
        <f t="shared" si="2"/>
        <v>2412279.9999999953</v>
      </c>
      <c r="I31" s="13"/>
      <c r="O31" t="s">
        <v>47</v>
      </c>
      <c r="P31" s="84">
        <v>0.2</v>
      </c>
      <c r="Q31" s="15">
        <f>Q29*P31</f>
        <v>11000000</v>
      </c>
    </row>
    <row r="32" spans="1:19" ht="15" customHeight="1" x14ac:dyDescent="0.25">
      <c r="A32" s="3">
        <f t="shared" ref="A32:B32" si="3">A13</f>
        <v>3</v>
      </c>
      <c r="B32" s="19">
        <f t="shared" si="3"/>
        <v>5452100.1296000229</v>
      </c>
      <c r="G32" s="3">
        <f t="shared" ref="G32:H32" si="4">G13</f>
        <v>3</v>
      </c>
      <c r="H32" s="19">
        <f t="shared" si="4"/>
        <v>2508771.1999999983</v>
      </c>
      <c r="I32" s="2"/>
      <c r="O32" s="33" t="s">
        <v>49</v>
      </c>
      <c r="P32" s="34">
        <f>S5</f>
        <v>7.1999999999999995E-2</v>
      </c>
      <c r="Q32" s="15">
        <f>M6</f>
        <v>10736403.165659113</v>
      </c>
    </row>
    <row r="33" spans="1:17" ht="15" customHeight="1" x14ac:dyDescent="0.25">
      <c r="A33" s="3">
        <f t="shared" ref="A33:B33" si="5">A14</f>
        <v>4</v>
      </c>
      <c r="B33" s="19">
        <f t="shared" si="5"/>
        <v>6527633.6187116839</v>
      </c>
      <c r="C33" s="29"/>
      <c r="G33" s="3">
        <f t="shared" ref="G33:H33" si="6">G14</f>
        <v>4</v>
      </c>
      <c r="H33" s="19">
        <f t="shared" si="6"/>
        <v>2609122.0480000158</v>
      </c>
      <c r="O33" s="33" t="s">
        <v>48</v>
      </c>
      <c r="P33" s="24">
        <v>0.13</v>
      </c>
      <c r="Q33" s="15">
        <f>Q29-Q31-Q32</f>
        <v>33263596.834340885</v>
      </c>
    </row>
    <row r="34" spans="1:17" ht="15" customHeight="1" x14ac:dyDescent="0.25">
      <c r="A34" s="3">
        <f>A15</f>
        <v>5</v>
      </c>
      <c r="B34" s="19">
        <f>B15</f>
        <v>7675481.5218829913</v>
      </c>
      <c r="G34" s="3">
        <f>G15</f>
        <v>5</v>
      </c>
      <c r="H34" s="19">
        <f>H15</f>
        <v>2713486.9299199698</v>
      </c>
      <c r="O34" s="3" t="s">
        <v>83</v>
      </c>
      <c r="P34" s="2"/>
      <c r="Q34" s="15">
        <f>Q32+Q33</f>
        <v>44000000</v>
      </c>
    </row>
    <row r="35" spans="1:17" ht="15" customHeight="1" x14ac:dyDescent="0.25">
      <c r="A35" s="3">
        <f>A16</f>
        <v>6</v>
      </c>
      <c r="B35" s="19">
        <f>B16+C22</f>
        <v>108811081.35800394</v>
      </c>
      <c r="G35" s="3">
        <f>G16</f>
        <v>6</v>
      </c>
      <c r="H35" s="19">
        <f>H16+I22</f>
        <v>62148041.9868415</v>
      </c>
    </row>
    <row r="36" spans="1:17" x14ac:dyDescent="0.25">
      <c r="O36" s="33" t="s">
        <v>50</v>
      </c>
      <c r="Q36" s="19">
        <f>S4*S5+Q33*P33</f>
        <v>5044267.588464315</v>
      </c>
    </row>
    <row r="38" spans="1:17" x14ac:dyDescent="0.25">
      <c r="O38" t="s">
        <v>84</v>
      </c>
      <c r="Q38" s="23">
        <f>(B35-Q29)/Q31</f>
        <v>4.8919164870912679</v>
      </c>
    </row>
    <row r="39" spans="1:17" x14ac:dyDescent="0.25">
      <c r="O39" t="s">
        <v>85</v>
      </c>
      <c r="Q39" s="23">
        <f>(B35-Q29)/(Q31-(M18-M19))</f>
        <v>6.9884521244160966</v>
      </c>
    </row>
  </sheetData>
  <mergeCells count="7">
    <mergeCell ref="O27:Q27"/>
    <mergeCell ref="R3:V3"/>
    <mergeCell ref="A1:E1"/>
    <mergeCell ref="A3:D3"/>
    <mergeCell ref="G3:J3"/>
    <mergeCell ref="L3:P3"/>
    <mergeCell ref="O11:P11"/>
  </mergeCells>
  <pageMargins left="0.7" right="0.7" top="0.75" bottom="0.75" header="0.3" footer="0.3"/>
  <pageSetup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3"/>
  <sheetViews>
    <sheetView zoomScaleNormal="100" workbookViewId="0">
      <selection activeCell="H31" sqref="H31"/>
    </sheetView>
  </sheetViews>
  <sheetFormatPr defaultRowHeight="15" x14ac:dyDescent="0.25"/>
  <cols>
    <col min="2" max="4" width="10.7109375" customWidth="1"/>
    <col min="5" max="5" width="11.5703125" bestFit="1" customWidth="1"/>
    <col min="6" max="9" width="10.7109375" customWidth="1"/>
    <col min="10" max="10" width="10.5703125" bestFit="1" customWidth="1"/>
    <col min="11" max="11" width="10.5703125" customWidth="1"/>
    <col min="14" max="15" width="9.5703125" bestFit="1" customWidth="1"/>
    <col min="16" max="16" width="12.5703125" bestFit="1" customWidth="1"/>
    <col min="17" max="17" width="9.5703125" bestFit="1" customWidth="1"/>
    <col min="18" max="23" width="12.7109375" customWidth="1"/>
    <col min="24" max="24" width="4.7109375" customWidth="1"/>
    <col min="25" max="26" width="10.5703125" customWidth="1"/>
  </cols>
  <sheetData>
    <row r="1" spans="1:28" x14ac:dyDescent="0.25">
      <c r="A1" s="22" t="s">
        <v>26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8" x14ac:dyDescent="0.25">
      <c r="I2" s="3"/>
      <c r="J2" s="3"/>
    </row>
    <row r="3" spans="1:28" x14ac:dyDescent="0.25">
      <c r="A3" s="36" t="s">
        <v>51</v>
      </c>
      <c r="B3" s="37"/>
      <c r="C3" s="37"/>
      <c r="D3" s="79">
        <f>'Transaction Details'!C5</f>
        <v>0.04</v>
      </c>
      <c r="F3" s="37"/>
      <c r="G3" s="37"/>
      <c r="H3" s="37"/>
      <c r="I3" s="25"/>
      <c r="M3" s="20"/>
      <c r="N3" s="22" t="s">
        <v>52</v>
      </c>
      <c r="O3" s="22"/>
      <c r="P3" s="20"/>
      <c r="Q3" s="1"/>
      <c r="T3" s="20"/>
      <c r="U3" s="20"/>
      <c r="V3" s="20"/>
      <c r="W3" s="20"/>
    </row>
    <row r="4" spans="1:28" x14ac:dyDescent="0.25">
      <c r="A4" s="37" t="s">
        <v>69</v>
      </c>
      <c r="B4" s="37"/>
      <c r="C4" s="37"/>
      <c r="D4" s="34">
        <f>'Transaction Details'!S16</f>
        <v>0.34</v>
      </c>
      <c r="I4" s="25"/>
      <c r="M4" s="1"/>
      <c r="N4" s="38" t="s">
        <v>53</v>
      </c>
      <c r="O4" s="72">
        <v>0.04</v>
      </c>
      <c r="P4" s="1"/>
      <c r="Q4" s="1"/>
      <c r="T4" s="39"/>
      <c r="U4" s="39"/>
      <c r="V4" s="39"/>
      <c r="W4" s="39"/>
    </row>
    <row r="5" spans="1:28" x14ac:dyDescent="0.25">
      <c r="A5" s="37" t="s">
        <v>54</v>
      </c>
      <c r="B5" s="37"/>
      <c r="C5" s="37"/>
      <c r="D5" s="34">
        <f>'Transaction Details'!S17</f>
        <v>0.34</v>
      </c>
      <c r="I5" s="25"/>
      <c r="M5" s="20"/>
      <c r="N5" s="28" t="s">
        <v>71</v>
      </c>
      <c r="O5" s="72">
        <v>0</v>
      </c>
      <c r="P5" s="1"/>
      <c r="Q5" s="1"/>
      <c r="T5" s="1"/>
      <c r="U5" s="1"/>
      <c r="V5" s="1"/>
      <c r="W5" s="1"/>
    </row>
    <row r="6" spans="1:28" x14ac:dyDescent="0.25">
      <c r="A6" s="37" t="s">
        <v>55</v>
      </c>
      <c r="B6" s="37"/>
      <c r="C6" s="37"/>
      <c r="D6" s="34">
        <f>'Transaction Details'!S18</f>
        <v>0.34</v>
      </c>
      <c r="E6" s="40"/>
      <c r="F6" s="40"/>
      <c r="G6" s="28"/>
      <c r="J6" s="12"/>
      <c r="M6" s="1"/>
      <c r="N6" s="28" t="s">
        <v>72</v>
      </c>
      <c r="O6" s="81">
        <v>0</v>
      </c>
      <c r="P6" s="1"/>
      <c r="Q6" s="1"/>
      <c r="T6" s="1"/>
      <c r="U6" s="1"/>
      <c r="V6" s="1"/>
      <c r="W6" s="1"/>
    </row>
    <row r="7" spans="1:28" x14ac:dyDescent="0.25">
      <c r="A7" s="37"/>
      <c r="B7" s="37"/>
      <c r="C7" s="37"/>
      <c r="D7" s="38"/>
      <c r="G7" s="28"/>
      <c r="H7" s="12"/>
      <c r="M7" s="20"/>
      <c r="N7" s="41" t="s">
        <v>56</v>
      </c>
      <c r="O7" s="42">
        <f>SUM(O4:O6)</f>
        <v>0.04</v>
      </c>
      <c r="P7" s="20"/>
      <c r="Q7" s="20"/>
      <c r="T7" s="20"/>
      <c r="U7" s="20"/>
      <c r="V7" s="20"/>
      <c r="W7" s="20"/>
    </row>
    <row r="8" spans="1:28" x14ac:dyDescent="0.25">
      <c r="A8" s="28"/>
      <c r="B8" s="28"/>
      <c r="M8" s="48"/>
      <c r="N8" s="48"/>
      <c r="Q8" s="20"/>
      <c r="T8" s="20"/>
      <c r="U8" s="20"/>
      <c r="V8" s="20"/>
      <c r="W8" s="20"/>
    </row>
    <row r="9" spans="1:28" x14ac:dyDescent="0.25">
      <c r="A9" s="28"/>
      <c r="B9" s="28"/>
      <c r="M9" s="68"/>
      <c r="N9" s="68"/>
      <c r="Q9" s="20"/>
      <c r="T9" s="20"/>
      <c r="U9" s="20"/>
      <c r="V9" s="20"/>
      <c r="W9" s="20"/>
    </row>
    <row r="10" spans="1:28" ht="60" x14ac:dyDescent="0.25">
      <c r="B10" s="43" t="s">
        <v>57</v>
      </c>
      <c r="C10" s="43" t="s">
        <v>23</v>
      </c>
      <c r="D10" s="43" t="s">
        <v>58</v>
      </c>
      <c r="E10" s="43" t="s">
        <v>59</v>
      </c>
      <c r="F10" s="43" t="s">
        <v>60</v>
      </c>
      <c r="G10" s="43" t="s">
        <v>61</v>
      </c>
      <c r="H10" s="43" t="s">
        <v>62</v>
      </c>
      <c r="I10" s="43" t="s">
        <v>73</v>
      </c>
      <c r="J10" s="43" t="s">
        <v>74</v>
      </c>
      <c r="K10" s="43" t="s">
        <v>75</v>
      </c>
      <c r="L10" s="43" t="s">
        <v>63</v>
      </c>
      <c r="M10" s="43" t="s">
        <v>64</v>
      </c>
      <c r="N10" s="44" t="s">
        <v>65</v>
      </c>
      <c r="O10" s="45" t="s">
        <v>66</v>
      </c>
      <c r="P10" s="43" t="s">
        <v>67</v>
      </c>
      <c r="Q10" s="43" t="s">
        <v>5</v>
      </c>
      <c r="X10" s="46"/>
    </row>
    <row r="11" spans="1:28" x14ac:dyDescent="0.25">
      <c r="B11" s="47">
        <f>'[1]Fin Stmt'!E6</f>
        <v>2016</v>
      </c>
      <c r="C11" s="87">
        <f>'Transaction Details'!S4/1000000</f>
        <v>10</v>
      </c>
      <c r="D11" s="87">
        <f>'Transaction Details'!M23/1000000</f>
        <v>253.64</v>
      </c>
      <c r="E11" s="87">
        <f>'Transaction Details'!M24/1000000</f>
        <v>241</v>
      </c>
      <c r="F11" s="87">
        <f>'Transaction Details'!M25/1000000</f>
        <v>3.89</v>
      </c>
      <c r="G11" s="88">
        <f t="shared" ref="G11:G17" si="0">D11-E11-F11</f>
        <v>8.7499999999999858</v>
      </c>
      <c r="H11" s="87">
        <f>'Transaction Details'!S4*'Transaction Details'!S5/1000000</f>
        <v>0.72</v>
      </c>
      <c r="I11" s="88">
        <f>G11-H11</f>
        <v>8.0299999999999851</v>
      </c>
      <c r="J11" s="89">
        <f>I11*$D$6</f>
        <v>2.7301999999999951</v>
      </c>
      <c r="K11" s="88">
        <f>I11-J11</f>
        <v>5.2997999999999905</v>
      </c>
      <c r="L11" s="90">
        <f>N11+O11</f>
        <v>89.842999999999989</v>
      </c>
      <c r="M11" s="91">
        <f>G11*(1-$D$5)</f>
        <v>5.7749999999999897</v>
      </c>
      <c r="N11" s="92">
        <f>'Transaction Details'!M26/1000000</f>
        <v>32.912999999999997</v>
      </c>
      <c r="O11" s="87">
        <f>'Transaction Details'!M27/1000000</f>
        <v>56.93</v>
      </c>
      <c r="P11" s="48">
        <f>M11+F11-(N11-'Transaction Details'!M21/1000000)-(O11-'Transaction Details'!M22/1000000+F11)</f>
        <v>2.731999999999994</v>
      </c>
      <c r="Q11" s="51">
        <f t="shared" ref="Q11:Q17" si="1">M11/L11</f>
        <v>6.4278797457787362E-2</v>
      </c>
      <c r="S11" s="52"/>
      <c r="T11" s="52"/>
      <c r="V11" s="52"/>
      <c r="W11" s="52"/>
      <c r="X11" s="53"/>
      <c r="Y11" s="54"/>
      <c r="Z11" s="54"/>
    </row>
    <row r="12" spans="1:28" x14ac:dyDescent="0.25">
      <c r="A12">
        <v>1</v>
      </c>
      <c r="B12" s="47">
        <f>B11+1</f>
        <v>2017</v>
      </c>
      <c r="C12" s="48">
        <f>C11</f>
        <v>10</v>
      </c>
      <c r="D12" s="48">
        <f>D11*(1+$D$19+D20)</f>
        <v>263.78559999999999</v>
      </c>
      <c r="E12" s="48">
        <f>E$19*$D12</f>
        <v>250.64</v>
      </c>
      <c r="F12" s="48">
        <f>F$19*$D12</f>
        <v>4.0456000000000003</v>
      </c>
      <c r="G12" s="49">
        <f t="shared" si="0"/>
        <v>9.1000000000000014</v>
      </c>
      <c r="H12" s="48">
        <f>C11*'Transaction Details'!S5+'Transaction Details'!Q33*'Transaction Details'!P33/1000000</f>
        <v>5.0442675884643151</v>
      </c>
      <c r="I12" s="49">
        <f t="shared" ref="I12:I17" si="2">G12-H12</f>
        <v>4.0557324115356863</v>
      </c>
      <c r="J12" s="67">
        <f t="shared" ref="J12:J17" si="3">I12*$D$6</f>
        <v>1.3789490199221335</v>
      </c>
      <c r="K12" s="49">
        <f t="shared" ref="K12:K17" si="4">I12-J12</f>
        <v>2.6767833916135526</v>
      </c>
      <c r="L12" s="48">
        <f>N12+O12</f>
        <v>93.436720000000008</v>
      </c>
      <c r="M12" s="48">
        <f>G12*(1-$D$5)</f>
        <v>6.0060000000000002</v>
      </c>
      <c r="N12" s="50">
        <f>N11*(1+$N$19)*(1-$N$20)</f>
        <v>34.229520000000001</v>
      </c>
      <c r="O12" s="48">
        <f>O11*(1+$O$19)*(1-$O$20)</f>
        <v>59.2072</v>
      </c>
      <c r="P12" s="48">
        <f>M12+F12-(N12-N11)-(O12-O11+F12)</f>
        <v>2.4122799999999955</v>
      </c>
      <c r="Q12" s="51">
        <f t="shared" si="1"/>
        <v>6.4278797457787473E-2</v>
      </c>
      <c r="X12" s="55"/>
      <c r="Z12" s="56"/>
      <c r="AB12" s="56"/>
    </row>
    <row r="13" spans="1:28" x14ac:dyDescent="0.25">
      <c r="A13">
        <f>A12+1</f>
        <v>2</v>
      </c>
      <c r="B13" s="47">
        <f t="shared" ref="B13:B17" si="5">B12+1</f>
        <v>2018</v>
      </c>
      <c r="C13" s="48">
        <f>C12</f>
        <v>10</v>
      </c>
      <c r="D13" s="48">
        <f>D12*(1+$D$19+D20*0.66)</f>
        <v>274.33702399999999</v>
      </c>
      <c r="E13" s="48">
        <f>E$19*$D13</f>
        <v>260.66559999999998</v>
      </c>
      <c r="F13" s="48">
        <f>F$19*$D13</f>
        <v>4.2074239999999996</v>
      </c>
      <c r="G13" s="49">
        <f t="shared" si="0"/>
        <v>9.4640000000000022</v>
      </c>
      <c r="H13" s="48">
        <f>H12</f>
        <v>5.0442675884643151</v>
      </c>
      <c r="I13" s="49">
        <f t="shared" si="2"/>
        <v>4.4197324115356871</v>
      </c>
      <c r="J13" s="67">
        <f t="shared" si="3"/>
        <v>1.5027090199221338</v>
      </c>
      <c r="K13" s="49">
        <f t="shared" si="4"/>
        <v>2.9170233916135535</v>
      </c>
      <c r="L13" s="48">
        <f t="shared" ref="L13:L17" si="6">N13+O13</f>
        <v>97.174188799999996</v>
      </c>
      <c r="M13" s="48">
        <f>G13*(1-$D$5)</f>
        <v>6.2462400000000011</v>
      </c>
      <c r="N13" s="50">
        <f t="shared" ref="N13:N16" si="7">N12*(1+$N$19)*(1-$N$20)</f>
        <v>35.598700800000003</v>
      </c>
      <c r="O13" s="48">
        <f t="shared" ref="O13:O16" si="8">O12*(1+$O$19)*(1-$O$20)</f>
        <v>61.575488</v>
      </c>
      <c r="P13" s="48">
        <f>M13+F13-(N13-N12)-(O13-O12+F13)</f>
        <v>2.5087711999999982</v>
      </c>
      <c r="Q13" s="51">
        <f t="shared" si="1"/>
        <v>6.4278797457787487E-2</v>
      </c>
      <c r="X13" s="55"/>
      <c r="Z13" s="56"/>
      <c r="AB13" s="56"/>
    </row>
    <row r="14" spans="1:28" x14ac:dyDescent="0.25">
      <c r="A14">
        <f t="shared" ref="A14:A16" si="9">A13+1</f>
        <v>3</v>
      </c>
      <c r="B14" s="47">
        <f t="shared" si="5"/>
        <v>2019</v>
      </c>
      <c r="C14" s="48">
        <f t="shared" ref="C14:C17" si="10">C13</f>
        <v>10</v>
      </c>
      <c r="D14" s="48">
        <f>D13*(1+$D$19+D20*0.34)</f>
        <v>285.31050496</v>
      </c>
      <c r="E14" s="48">
        <f>E$19*$D14</f>
        <v>271.09222399999999</v>
      </c>
      <c r="F14" s="48">
        <f>F$19*$D14</f>
        <v>4.3757209600000007</v>
      </c>
      <c r="G14" s="49">
        <f t="shared" si="0"/>
        <v>9.8425600000000149</v>
      </c>
      <c r="H14" s="48">
        <f t="shared" ref="H14:H17" si="11">H13</f>
        <v>5.0442675884643151</v>
      </c>
      <c r="I14" s="49">
        <f t="shared" si="2"/>
        <v>4.7982924115356997</v>
      </c>
      <c r="J14" s="67">
        <f t="shared" si="3"/>
        <v>1.6314194199221381</v>
      </c>
      <c r="K14" s="49">
        <f t="shared" si="4"/>
        <v>3.1668729916135616</v>
      </c>
      <c r="L14" s="48">
        <f t="shared" si="6"/>
        <v>101.061156352</v>
      </c>
      <c r="M14" s="48">
        <f>G14*(1-$D$5)</f>
        <v>6.4960896000000092</v>
      </c>
      <c r="N14" s="50">
        <f t="shared" si="7"/>
        <v>37.022648832000002</v>
      </c>
      <c r="O14" s="48">
        <f t="shared" si="8"/>
        <v>64.038507519999996</v>
      </c>
      <c r="P14" s="48">
        <f>M14+F14-(N14-N13)-(O14-O13+F14)</f>
        <v>2.6091220480000157</v>
      </c>
      <c r="Q14" s="51">
        <f t="shared" si="1"/>
        <v>6.427879745778757E-2</v>
      </c>
      <c r="X14" s="55"/>
      <c r="Z14" s="56"/>
      <c r="AB14" s="56"/>
    </row>
    <row r="15" spans="1:28" x14ac:dyDescent="0.25">
      <c r="A15">
        <f t="shared" si="9"/>
        <v>4</v>
      </c>
      <c r="B15" s="47">
        <f t="shared" si="5"/>
        <v>2020</v>
      </c>
      <c r="C15" s="48">
        <f t="shared" si="10"/>
        <v>10</v>
      </c>
      <c r="D15" s="48">
        <f>D14*(1+$D$19)</f>
        <v>296.72292515840002</v>
      </c>
      <c r="E15" s="48">
        <f>E$19*$D15</f>
        <v>281.93591296000005</v>
      </c>
      <c r="F15" s="48">
        <f>F$19*$D15</f>
        <v>4.5507497984</v>
      </c>
      <c r="G15" s="49">
        <f t="shared" si="0"/>
        <v>10.236262399999964</v>
      </c>
      <c r="H15" s="48">
        <f t="shared" si="11"/>
        <v>5.0442675884643151</v>
      </c>
      <c r="I15" s="49">
        <f t="shared" si="2"/>
        <v>5.1919948115356487</v>
      </c>
      <c r="J15" s="67">
        <f t="shared" si="3"/>
        <v>1.7652782359221206</v>
      </c>
      <c r="K15" s="49">
        <f t="shared" si="4"/>
        <v>3.4267165756135283</v>
      </c>
      <c r="L15" s="48">
        <f t="shared" si="6"/>
        <v>105.10360260608</v>
      </c>
      <c r="M15" s="48">
        <f>G15*(1-$D$5)</f>
        <v>6.755933183999975</v>
      </c>
      <c r="N15" s="50">
        <f t="shared" si="7"/>
        <v>38.503554785280002</v>
      </c>
      <c r="O15" s="48">
        <f t="shared" si="8"/>
        <v>66.6000478208</v>
      </c>
      <c r="P15" s="48">
        <f>M15+F15-(N15-N14)-(O15-O14+F15)</f>
        <v>2.71348692991997</v>
      </c>
      <c r="Q15" s="51">
        <f t="shared" si="1"/>
        <v>6.4278797457787237E-2</v>
      </c>
      <c r="X15" s="55"/>
      <c r="Z15" s="56"/>
      <c r="AB15" s="56"/>
    </row>
    <row r="16" spans="1:28" x14ac:dyDescent="0.25">
      <c r="A16">
        <f t="shared" si="9"/>
        <v>5</v>
      </c>
      <c r="B16" s="47">
        <f t="shared" si="5"/>
        <v>2021</v>
      </c>
      <c r="C16" s="48">
        <f t="shared" si="10"/>
        <v>10</v>
      </c>
      <c r="D16" s="48">
        <f>D15*(1+$D$19)</f>
        <v>308.59184216473602</v>
      </c>
      <c r="E16" s="48">
        <f>E$19*$D16</f>
        <v>293.2133494784</v>
      </c>
      <c r="F16" s="48">
        <f>F$19*$D16</f>
        <v>4.7327797903360009</v>
      </c>
      <c r="G16" s="49">
        <f t="shared" si="0"/>
        <v>10.645712896000017</v>
      </c>
      <c r="H16" s="48">
        <f t="shared" si="11"/>
        <v>5.0442675884643151</v>
      </c>
      <c r="I16" s="49">
        <f t="shared" si="2"/>
        <v>5.6014453075357018</v>
      </c>
      <c r="J16" s="67">
        <f t="shared" si="3"/>
        <v>1.9044914045621388</v>
      </c>
      <c r="K16" s="49">
        <f t="shared" si="4"/>
        <v>3.6969539029735632</v>
      </c>
      <c r="L16" s="48">
        <f t="shared" si="6"/>
        <v>109.30774671032322</v>
      </c>
      <c r="M16" s="48">
        <f>G16*(1-$D$5)</f>
        <v>7.0261705113600099</v>
      </c>
      <c r="N16" s="50">
        <f t="shared" si="7"/>
        <v>40.043696976691201</v>
      </c>
      <c r="O16" s="48">
        <f t="shared" si="8"/>
        <v>69.264049733632007</v>
      </c>
      <c r="P16" s="48">
        <f>M16+F16-(N16-N15)-(O16-O15+F16)</f>
        <v>2.8220264071168044</v>
      </c>
      <c r="Q16" s="51">
        <f t="shared" si="1"/>
        <v>6.4278797457787556E-2</v>
      </c>
      <c r="X16" s="55"/>
      <c r="Z16" s="56"/>
      <c r="AB16" s="56"/>
    </row>
    <row r="17" spans="2:28" x14ac:dyDescent="0.25">
      <c r="B17" s="47">
        <f t="shared" si="5"/>
        <v>2022</v>
      </c>
      <c r="C17" s="48">
        <f t="shared" si="10"/>
        <v>10</v>
      </c>
      <c r="D17" s="48">
        <f>D16*(1+$D$3)</f>
        <v>320.93551585132548</v>
      </c>
      <c r="E17" s="48">
        <f>E$19*$D17</f>
        <v>304.94188345753605</v>
      </c>
      <c r="F17" s="48">
        <f>F$19*$D17</f>
        <v>4.9220909819494407</v>
      </c>
      <c r="G17" s="49">
        <f t="shared" si="0"/>
        <v>11.071541411839984</v>
      </c>
      <c r="H17" s="48">
        <f t="shared" si="11"/>
        <v>5.0442675884643151</v>
      </c>
      <c r="I17" s="49">
        <f t="shared" si="2"/>
        <v>6.0272738233756691</v>
      </c>
      <c r="J17" s="67">
        <f t="shared" si="3"/>
        <v>2.0492730999477278</v>
      </c>
      <c r="K17" s="49">
        <f t="shared" si="4"/>
        <v>3.9780007234279413</v>
      </c>
      <c r="L17" s="48">
        <f t="shared" si="6"/>
        <v>113.68005657873614</v>
      </c>
      <c r="M17" s="48">
        <f>G17*(1-$D$5)</f>
        <v>7.3072173318143889</v>
      </c>
      <c r="N17" s="50">
        <f>N16*(1+$D$3)</f>
        <v>41.645444855758853</v>
      </c>
      <c r="O17" s="48">
        <f>O16*(1+$D$3)</f>
        <v>72.034611722977289</v>
      </c>
      <c r="P17" s="48">
        <f>M17+F17-(N17-N16)-(O17-O16+F17)</f>
        <v>2.9349074634014558</v>
      </c>
      <c r="Q17" s="51">
        <f t="shared" si="1"/>
        <v>6.4278797457787362E-2</v>
      </c>
      <c r="S17" s="57"/>
      <c r="T17" s="57"/>
      <c r="V17" s="57"/>
      <c r="W17" s="57"/>
      <c r="X17" s="55"/>
      <c r="Z17" s="56"/>
      <c r="AB17" s="56"/>
    </row>
    <row r="18" spans="2:28" x14ac:dyDescent="0.25">
      <c r="B18" s="47"/>
      <c r="C18" s="48"/>
      <c r="D18" s="48"/>
      <c r="E18" s="48"/>
      <c r="F18" s="48"/>
      <c r="G18" s="49"/>
      <c r="H18" s="48"/>
      <c r="I18" s="48"/>
      <c r="J18" s="48"/>
      <c r="K18" s="48"/>
      <c r="L18" s="48"/>
      <c r="M18" s="48"/>
      <c r="N18" s="51"/>
      <c r="O18" s="39"/>
      <c r="S18" s="57"/>
      <c r="T18" s="57"/>
      <c r="V18" s="57"/>
      <c r="W18" s="57"/>
      <c r="X18" s="58"/>
      <c r="Z18" s="56"/>
      <c r="AB18" s="56"/>
    </row>
    <row r="19" spans="2:28" x14ac:dyDescent="0.25">
      <c r="C19" s="28" t="s">
        <v>68</v>
      </c>
      <c r="D19" s="59">
        <f>O7</f>
        <v>0.04</v>
      </c>
      <c r="E19" s="59">
        <f>E11/$D$11</f>
        <v>0.95016558902381332</v>
      </c>
      <c r="F19" s="59">
        <f>F11/$D$11</f>
        <v>1.5336697681753667E-2</v>
      </c>
      <c r="G19" s="31"/>
      <c r="H19" s="59">
        <f>H11*1000000/'Transaction Details'!M20</f>
        <v>7.1999999999999995E-2</v>
      </c>
      <c r="I19" s="48"/>
      <c r="J19" s="48"/>
      <c r="L19" s="12"/>
      <c r="N19" s="69">
        <f>O7</f>
        <v>0.04</v>
      </c>
      <c r="O19" s="69">
        <f>O7</f>
        <v>0.04</v>
      </c>
      <c r="P19" s="60"/>
      <c r="Q19" s="39"/>
      <c r="R19" s="61"/>
      <c r="S19" s="61"/>
      <c r="T19" s="61"/>
      <c r="U19" s="61"/>
      <c r="V19" s="61"/>
      <c r="W19" s="61"/>
      <c r="X19" s="62"/>
    </row>
    <row r="20" spans="2:28" ht="18" x14ac:dyDescent="0.35">
      <c r="C20" s="28" t="s">
        <v>76</v>
      </c>
      <c r="D20" s="31">
        <v>0</v>
      </c>
      <c r="E20" s="31">
        <v>0</v>
      </c>
      <c r="F20" s="31">
        <v>0</v>
      </c>
      <c r="G20" s="24"/>
      <c r="H20" s="24"/>
      <c r="I20" s="24"/>
      <c r="J20" s="24"/>
      <c r="K20" s="68"/>
      <c r="N20" s="70">
        <v>0</v>
      </c>
      <c r="O20" s="70">
        <v>0</v>
      </c>
      <c r="P20" s="63"/>
      <c r="Q20" s="63"/>
      <c r="R20" s="64"/>
      <c r="S20" s="64"/>
      <c r="X20" s="1"/>
    </row>
    <row r="21" spans="2:28" x14ac:dyDescent="0.25">
      <c r="H21" s="65"/>
    </row>
    <row r="22" spans="2:28" x14ac:dyDescent="0.25">
      <c r="H22" s="65"/>
    </row>
    <row r="23" spans="2:28" x14ac:dyDescent="0.25">
      <c r="B23" s="28"/>
      <c r="H23" s="65"/>
    </row>
  </sheetData>
  <mergeCells count="9">
    <mergeCell ref="A6:C6"/>
    <mergeCell ref="A7:C7"/>
    <mergeCell ref="X12:X17"/>
    <mergeCell ref="A1:P1"/>
    <mergeCell ref="A3:C3"/>
    <mergeCell ref="F3:H3"/>
    <mergeCell ref="N3:O3"/>
    <mergeCell ref="A4:C4"/>
    <mergeCell ref="A5:C5"/>
  </mergeCells>
  <pageMargins left="0.7" right="0.7" top="0.75" bottom="0.75" header="0.3" footer="0.3"/>
  <pageSetup scale="4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5"/>
  <sheetViews>
    <sheetView zoomScaleNormal="100" workbookViewId="0">
      <selection activeCell="H10" sqref="H10:H12"/>
    </sheetView>
  </sheetViews>
  <sheetFormatPr defaultRowHeight="15" x14ac:dyDescent="0.25"/>
  <cols>
    <col min="2" max="4" width="10.7109375" customWidth="1"/>
    <col min="5" max="5" width="11.5703125" bestFit="1" customWidth="1"/>
    <col min="6" max="9" width="10.7109375" customWidth="1"/>
    <col min="10" max="10" width="10.5703125" bestFit="1" customWidth="1"/>
    <col min="11" max="11" width="10.5703125" customWidth="1"/>
    <col min="14" max="17" width="9.5703125" bestFit="1" customWidth="1"/>
    <col min="18" max="23" width="12.7109375" customWidth="1"/>
    <col min="24" max="24" width="4.7109375" customWidth="1"/>
    <col min="25" max="26" width="10.5703125" customWidth="1"/>
  </cols>
  <sheetData>
    <row r="1" spans="1:28" x14ac:dyDescent="0.25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35"/>
      <c r="R1" s="35"/>
      <c r="S1" s="35"/>
      <c r="T1" s="35"/>
      <c r="U1" s="35"/>
      <c r="V1" s="35"/>
      <c r="W1" s="35"/>
      <c r="X1" s="35"/>
      <c r="Y1" s="35"/>
      <c r="Z1" s="35"/>
    </row>
    <row r="2" spans="1:28" x14ac:dyDescent="0.25">
      <c r="I2" s="3"/>
      <c r="J2" s="3"/>
    </row>
    <row r="3" spans="1:28" x14ac:dyDescent="0.25">
      <c r="A3" s="36" t="s">
        <v>51</v>
      </c>
      <c r="B3" s="37"/>
      <c r="C3" s="37"/>
      <c r="D3" s="79">
        <f>'Transaction Details'!C5</f>
        <v>0.04</v>
      </c>
      <c r="F3" s="37"/>
      <c r="G3" s="37"/>
      <c r="H3" s="37"/>
      <c r="I3" s="25"/>
      <c r="J3" s="19"/>
      <c r="M3" s="20"/>
      <c r="N3" s="22" t="s">
        <v>52</v>
      </c>
      <c r="O3" s="22"/>
      <c r="P3" s="20"/>
      <c r="Q3" s="1"/>
      <c r="T3" s="20"/>
      <c r="U3" s="20"/>
      <c r="V3" s="20"/>
      <c r="W3" s="20"/>
    </row>
    <row r="4" spans="1:28" x14ac:dyDescent="0.25">
      <c r="A4" s="37" t="s">
        <v>69</v>
      </c>
      <c r="B4" s="37"/>
      <c r="C4" s="37"/>
      <c r="D4" s="34">
        <f>'Transaction Details'!S16</f>
        <v>0.34</v>
      </c>
      <c r="I4" s="25"/>
      <c r="M4" s="1"/>
      <c r="N4" s="38" t="s">
        <v>53</v>
      </c>
      <c r="O4" s="72">
        <v>0.04</v>
      </c>
      <c r="P4" s="1"/>
      <c r="Q4" s="1"/>
      <c r="T4" s="39"/>
      <c r="U4" s="39"/>
      <c r="V4" s="39"/>
      <c r="W4" s="39"/>
    </row>
    <row r="5" spans="1:28" x14ac:dyDescent="0.25">
      <c r="A5" s="37" t="s">
        <v>54</v>
      </c>
      <c r="B5" s="37"/>
      <c r="C5" s="37"/>
      <c r="D5" s="34">
        <f>'Transaction Details'!S17</f>
        <v>0.34</v>
      </c>
      <c r="I5" s="25"/>
      <c r="M5" s="20"/>
      <c r="N5" s="28" t="s">
        <v>71</v>
      </c>
      <c r="O5" s="72">
        <v>0.05</v>
      </c>
      <c r="P5" s="1"/>
      <c r="Q5" s="1"/>
      <c r="T5" s="1"/>
      <c r="U5" s="1"/>
      <c r="V5" s="1"/>
      <c r="W5" s="1"/>
    </row>
    <row r="6" spans="1:28" x14ac:dyDescent="0.25">
      <c r="A6" s="37" t="s">
        <v>55</v>
      </c>
      <c r="B6" s="37"/>
      <c r="C6" s="37"/>
      <c r="D6" s="34">
        <f>'Transaction Details'!S18</f>
        <v>0.34</v>
      </c>
      <c r="E6" s="40"/>
      <c r="F6" s="40"/>
      <c r="G6" s="28"/>
      <c r="H6" s="12"/>
      <c r="I6" s="28"/>
      <c r="J6" s="12"/>
      <c r="M6" s="1"/>
      <c r="N6" s="28" t="s">
        <v>72</v>
      </c>
      <c r="O6" s="81">
        <v>0.03</v>
      </c>
      <c r="P6" s="1"/>
      <c r="Q6" s="1"/>
      <c r="T6" s="1"/>
      <c r="U6" s="1"/>
      <c r="V6" s="1"/>
      <c r="W6" s="1"/>
    </row>
    <row r="7" spans="1:28" x14ac:dyDescent="0.25">
      <c r="A7" s="37"/>
      <c r="B7" s="37"/>
      <c r="C7" s="37"/>
      <c r="D7" s="38"/>
      <c r="G7" s="28"/>
      <c r="H7" s="12"/>
      <c r="M7" s="20"/>
      <c r="N7" s="41" t="s">
        <v>56</v>
      </c>
      <c r="O7" s="42">
        <f>SUM(O4:O6)</f>
        <v>0.12</v>
      </c>
      <c r="P7" s="20"/>
      <c r="Q7" s="20"/>
      <c r="T7" s="20"/>
      <c r="U7" s="20"/>
      <c r="V7" s="20"/>
      <c r="W7" s="20"/>
    </row>
    <row r="8" spans="1:28" x14ac:dyDescent="0.25">
      <c r="A8" s="28"/>
      <c r="B8" s="28"/>
      <c r="M8" s="48"/>
      <c r="N8" s="48"/>
      <c r="Q8" s="20"/>
      <c r="T8" s="20"/>
      <c r="U8" s="20"/>
      <c r="V8" s="20"/>
      <c r="W8" s="20"/>
    </row>
    <row r="9" spans="1:28" x14ac:dyDescent="0.25">
      <c r="A9" s="28"/>
      <c r="B9" s="28"/>
      <c r="M9" s="68"/>
      <c r="N9" s="68"/>
      <c r="Q9" s="20"/>
      <c r="T9" s="20"/>
      <c r="U9" s="20"/>
      <c r="V9" s="20"/>
      <c r="W9" s="20"/>
    </row>
    <row r="10" spans="1:28" ht="60" x14ac:dyDescent="0.25">
      <c r="B10" s="43" t="s">
        <v>57</v>
      </c>
      <c r="C10" s="43" t="s">
        <v>23</v>
      </c>
      <c r="D10" s="43" t="s">
        <v>58</v>
      </c>
      <c r="E10" s="43" t="s">
        <v>59</v>
      </c>
      <c r="F10" s="43" t="s">
        <v>60</v>
      </c>
      <c r="G10" s="43" t="s">
        <v>61</v>
      </c>
      <c r="H10" s="43" t="s">
        <v>62</v>
      </c>
      <c r="I10" s="43" t="s">
        <v>73</v>
      </c>
      <c r="J10" s="43" t="s">
        <v>74</v>
      </c>
      <c r="K10" s="43" t="s">
        <v>75</v>
      </c>
      <c r="L10" s="43" t="s">
        <v>63</v>
      </c>
      <c r="M10" s="43" t="s">
        <v>64</v>
      </c>
      <c r="N10" s="44" t="s">
        <v>65</v>
      </c>
      <c r="O10" s="45" t="s">
        <v>66</v>
      </c>
      <c r="P10" s="43" t="s">
        <v>67</v>
      </c>
      <c r="Q10" s="43" t="s">
        <v>5</v>
      </c>
      <c r="X10" s="46"/>
    </row>
    <row r="11" spans="1:28" x14ac:dyDescent="0.25">
      <c r="B11" s="47">
        <f>'[1]Fin Stmt'!E6</f>
        <v>2016</v>
      </c>
      <c r="C11" s="48">
        <f>'VAL without adjusts'!C11</f>
        <v>10</v>
      </c>
      <c r="D11" s="48">
        <f>'VAL without adjusts'!D11</f>
        <v>253.64</v>
      </c>
      <c r="E11" s="48">
        <f>'VAL without adjusts'!E11</f>
        <v>241</v>
      </c>
      <c r="F11" s="48">
        <f>'VAL without adjusts'!F11</f>
        <v>3.89</v>
      </c>
      <c r="G11" s="49">
        <f t="shared" ref="G11:G17" si="0">D11-E11-F11</f>
        <v>8.7499999999999858</v>
      </c>
      <c r="H11" s="48">
        <f>'Transaction Details'!S4*'Transaction Details'!S5/1000000</f>
        <v>0.72</v>
      </c>
      <c r="I11" s="49">
        <f>G11-H11</f>
        <v>8.0299999999999851</v>
      </c>
      <c r="J11" s="67">
        <f>I11*$D$6</f>
        <v>2.7301999999999951</v>
      </c>
      <c r="K11" s="49">
        <f>I11-J11</f>
        <v>5.2997999999999905</v>
      </c>
      <c r="L11" s="48">
        <f>'VAL without adjusts'!L11</f>
        <v>89.842999999999989</v>
      </c>
      <c r="M11" s="47">
        <f>G11*(1-$D$5)</f>
        <v>5.7749999999999897</v>
      </c>
      <c r="N11" s="48">
        <f>'VAL without adjusts'!N11</f>
        <v>32.912999999999997</v>
      </c>
      <c r="O11" s="48">
        <f>'VAL without adjusts'!O11</f>
        <v>56.93</v>
      </c>
      <c r="P11" s="48">
        <f>M11+F11-(N11-'Transaction Details'!M21/1000000)-(O11-'Transaction Details'!M22/1000000+F11)</f>
        <v>2.731999999999994</v>
      </c>
      <c r="Q11" s="51">
        <f t="shared" ref="Q11:Q17" si="1">M11/L11</f>
        <v>6.4278797457787362E-2</v>
      </c>
      <c r="S11" s="52"/>
      <c r="T11" s="52"/>
      <c r="V11" s="52"/>
      <c r="W11" s="52"/>
      <c r="X11" s="53"/>
      <c r="Y11" s="54"/>
      <c r="Z11" s="54"/>
    </row>
    <row r="12" spans="1:28" x14ac:dyDescent="0.25">
      <c r="A12">
        <v>1</v>
      </c>
      <c r="B12" s="47">
        <f>B11+1</f>
        <v>2017</v>
      </c>
      <c r="C12" s="48">
        <f>'Transaction Details'!Q34/1000000</f>
        <v>44</v>
      </c>
      <c r="D12" s="48">
        <f>D11*(1+$D$19+D20)</f>
        <v>289.14960000000002</v>
      </c>
      <c r="E12" s="48">
        <f>E$19*$D12*(1-$E$20)</f>
        <v>269.24520000000001</v>
      </c>
      <c r="F12" s="48">
        <f>F$19*$D12</f>
        <v>4.4346000000000005</v>
      </c>
      <c r="G12" s="49">
        <f t="shared" si="0"/>
        <v>15.46980000000001</v>
      </c>
      <c r="H12" s="48">
        <f>C12*$H$20</f>
        <v>5.7200000000000006</v>
      </c>
      <c r="I12" s="49">
        <f t="shared" ref="I12:I17" si="2">G12-H12</f>
        <v>9.7498000000000093</v>
      </c>
      <c r="J12" s="67">
        <f t="shared" ref="J12:J17" si="3">I12*$D$6</f>
        <v>3.3149320000000033</v>
      </c>
      <c r="K12" s="49">
        <f t="shared" ref="K12:K17" si="4">I12-J12</f>
        <v>6.434868000000006</v>
      </c>
      <c r="L12" s="48">
        <f>N12+O12</f>
        <v>95.592951999999997</v>
      </c>
      <c r="M12" s="48">
        <f>G12*(1-$D$5)</f>
        <v>10.210068000000005</v>
      </c>
      <c r="N12" s="50">
        <f>N11*(1+$N$19)*(1-$N$20)</f>
        <v>35.019432000000002</v>
      </c>
      <c r="O12" s="48">
        <f>O11*(1+$O$19)*(1-$O$20)</f>
        <v>60.573520000000002</v>
      </c>
      <c r="P12" s="48">
        <f>M12+F12-(N12-N11)-(O12-O11+F12)</f>
        <v>4.4601159999999993</v>
      </c>
      <c r="Q12" s="51">
        <f t="shared" si="1"/>
        <v>0.10680774875536855</v>
      </c>
      <c r="X12" s="55"/>
      <c r="Z12" s="56"/>
      <c r="AB12" s="56"/>
    </row>
    <row r="13" spans="1:28" x14ac:dyDescent="0.25">
      <c r="A13">
        <f>A12+1</f>
        <v>2</v>
      </c>
      <c r="B13" s="47">
        <f t="shared" ref="B13:B17" si="5">B12+1</f>
        <v>2018</v>
      </c>
      <c r="C13" s="48">
        <f>C12</f>
        <v>44</v>
      </c>
      <c r="D13" s="48">
        <f>D12*(1+$D$19+D20*0.66)</f>
        <v>327.66432672000008</v>
      </c>
      <c r="E13" s="48">
        <f t="shared" ref="E13:E17" si="6">E$19*$D13*(1-$E$20)</f>
        <v>305.10866064000004</v>
      </c>
      <c r="F13" s="48">
        <f>F$19*$D13</f>
        <v>5.0252887200000016</v>
      </c>
      <c r="G13" s="49">
        <f t="shared" si="0"/>
        <v>17.530377360000035</v>
      </c>
      <c r="H13" s="48">
        <f t="shared" ref="H13:H17" si="7">C13*$H$20</f>
        <v>5.7200000000000006</v>
      </c>
      <c r="I13" s="49">
        <f t="shared" si="2"/>
        <v>11.810377360000034</v>
      </c>
      <c r="J13" s="67">
        <f t="shared" si="3"/>
        <v>4.0155283024000115</v>
      </c>
      <c r="K13" s="49">
        <f t="shared" si="4"/>
        <v>7.7948490576000227</v>
      </c>
      <c r="L13" s="48">
        <f t="shared" ref="L13:L17" si="8">N13+O13</f>
        <v>101.710900928</v>
      </c>
      <c r="M13" s="48">
        <f>G13*(1-$D$5)</f>
        <v>11.570049057600022</v>
      </c>
      <c r="N13" s="50">
        <f t="shared" ref="N13:N16" si="9">N12*(1+$N$19)*(1-$N$20)</f>
        <v>37.260675648000003</v>
      </c>
      <c r="O13" s="48">
        <f t="shared" ref="O13:O16" si="10">O12*(1+$O$19)*(1-$O$20)</f>
        <v>64.450225279999998</v>
      </c>
      <c r="P13" s="48">
        <f>M13+F13-(N13-N12)-(O13-O12+F13)</f>
        <v>5.4521001296000229</v>
      </c>
      <c r="Q13" s="51">
        <f t="shared" si="1"/>
        <v>0.11375426775336824</v>
      </c>
      <c r="X13" s="55"/>
      <c r="Z13" s="56"/>
      <c r="AB13" s="56"/>
    </row>
    <row r="14" spans="1:28" x14ac:dyDescent="0.25">
      <c r="A14">
        <f t="shared" ref="A14:A16" si="11">A13+1</f>
        <v>3</v>
      </c>
      <c r="B14" s="47">
        <f t="shared" si="5"/>
        <v>2019</v>
      </c>
      <c r="C14" s="48">
        <f t="shared" ref="C14:C17" si="12">C13</f>
        <v>44</v>
      </c>
      <c r="D14" s="48">
        <f>D13*(1+$D$19+D20*0.34)</f>
        <v>369.21216334809611</v>
      </c>
      <c r="E14" s="48">
        <f t="shared" si="6"/>
        <v>343.79643880915211</v>
      </c>
      <c r="F14" s="48">
        <f>F$19*$D14</f>
        <v>5.6624953296960019</v>
      </c>
      <c r="G14" s="49">
        <f t="shared" si="0"/>
        <v>19.753229209248005</v>
      </c>
      <c r="H14" s="48">
        <f t="shared" si="7"/>
        <v>5.7200000000000006</v>
      </c>
      <c r="I14" s="49">
        <f t="shared" si="2"/>
        <v>14.033229209248004</v>
      </c>
      <c r="J14" s="67">
        <f t="shared" si="3"/>
        <v>4.7712979311443222</v>
      </c>
      <c r="K14" s="49">
        <f t="shared" si="4"/>
        <v>9.2619312781036811</v>
      </c>
      <c r="L14" s="48">
        <f t="shared" si="8"/>
        <v>108.220398587392</v>
      </c>
      <c r="M14" s="48">
        <f>G14*(1-$D$5)</f>
        <v>13.037131278103681</v>
      </c>
      <c r="N14" s="50">
        <f t="shared" si="9"/>
        <v>39.645358889472007</v>
      </c>
      <c r="O14" s="48">
        <f t="shared" si="10"/>
        <v>68.575039697919991</v>
      </c>
      <c r="P14" s="48">
        <f>M14+F14-(N14-N13)-(O14-O13+F14)</f>
        <v>6.5276336187116843</v>
      </c>
      <c r="Q14" s="51">
        <f t="shared" si="1"/>
        <v>0.12046833543655555</v>
      </c>
      <c r="X14" s="55"/>
      <c r="Z14" s="56"/>
      <c r="AB14" s="56"/>
    </row>
    <row r="15" spans="1:28" x14ac:dyDescent="0.25">
      <c r="A15">
        <f t="shared" si="11"/>
        <v>4</v>
      </c>
      <c r="B15" s="47">
        <f t="shared" si="5"/>
        <v>2020</v>
      </c>
      <c r="C15" s="48">
        <f t="shared" si="12"/>
        <v>44</v>
      </c>
      <c r="D15" s="48">
        <f>D14*(1+$D$19)</f>
        <v>413.5176229498677</v>
      </c>
      <c r="E15" s="48">
        <f t="shared" si="6"/>
        <v>385.05201146625046</v>
      </c>
      <c r="F15" s="48">
        <f>F$19*$D15</f>
        <v>6.3419947692595233</v>
      </c>
      <c r="G15" s="49">
        <f t="shared" si="0"/>
        <v>22.123616714357716</v>
      </c>
      <c r="H15" s="48">
        <f t="shared" si="7"/>
        <v>5.7200000000000006</v>
      </c>
      <c r="I15" s="49">
        <f t="shared" si="2"/>
        <v>16.403616714357717</v>
      </c>
      <c r="J15" s="67">
        <f t="shared" si="3"/>
        <v>5.5772296828816241</v>
      </c>
      <c r="K15" s="49">
        <f t="shared" si="4"/>
        <v>10.826387031476093</v>
      </c>
      <c r="L15" s="48">
        <f t="shared" si="8"/>
        <v>115.1465040969851</v>
      </c>
      <c r="M15" s="48">
        <f>G15*(1-$D$5)</f>
        <v>14.601587031476091</v>
      </c>
      <c r="N15" s="50">
        <f t="shared" si="9"/>
        <v>42.18266185839822</v>
      </c>
      <c r="O15" s="48">
        <f t="shared" si="10"/>
        <v>72.963842238586878</v>
      </c>
      <c r="P15" s="48">
        <f>M15+F15-(N15-N14)-(O15-O14+F15)</f>
        <v>7.6754815218829915</v>
      </c>
      <c r="Q15" s="51">
        <f t="shared" si="1"/>
        <v>0.12680877414374239</v>
      </c>
      <c r="X15" s="55"/>
      <c r="Z15" s="56"/>
      <c r="AB15" s="56"/>
    </row>
    <row r="16" spans="1:28" x14ac:dyDescent="0.25">
      <c r="A16">
        <f t="shared" si="11"/>
        <v>5</v>
      </c>
      <c r="B16" s="47">
        <f t="shared" si="5"/>
        <v>2021</v>
      </c>
      <c r="C16" s="48">
        <f t="shared" si="12"/>
        <v>44</v>
      </c>
      <c r="D16" s="48">
        <f>D15*(1+$D$19)</f>
        <v>463.13973770385189</v>
      </c>
      <c r="E16" s="48">
        <f t="shared" si="6"/>
        <v>431.25825284220053</v>
      </c>
      <c r="F16" s="48">
        <f>F$19*$D16</f>
        <v>7.1030341415706673</v>
      </c>
      <c r="G16" s="49">
        <f t="shared" si="0"/>
        <v>24.778450720080691</v>
      </c>
      <c r="H16" s="48">
        <f t="shared" si="7"/>
        <v>5.7200000000000006</v>
      </c>
      <c r="I16" s="49">
        <f t="shared" si="2"/>
        <v>19.058450720080693</v>
      </c>
      <c r="J16" s="67">
        <f t="shared" si="3"/>
        <v>6.4798732448274361</v>
      </c>
      <c r="K16" s="49">
        <f t="shared" si="4"/>
        <v>12.578577475253256</v>
      </c>
      <c r="L16" s="48">
        <f t="shared" si="8"/>
        <v>122.51588035919215</v>
      </c>
      <c r="M16" s="48">
        <f>G16*(1-$D$5)</f>
        <v>16.353777475253253</v>
      </c>
      <c r="N16" s="50">
        <f t="shared" si="9"/>
        <v>44.882352217335708</v>
      </c>
      <c r="O16" s="48">
        <f t="shared" si="10"/>
        <v>77.633528141856445</v>
      </c>
      <c r="P16" s="48">
        <f>M16+F16-(N16-N15)-(O16-O15+F16)</f>
        <v>8.9844012130461977</v>
      </c>
      <c r="Q16" s="51">
        <f t="shared" si="1"/>
        <v>0.13348292015130803</v>
      </c>
      <c r="X16" s="55"/>
      <c r="Z16" s="56"/>
      <c r="AB16" s="56"/>
    </row>
    <row r="17" spans="2:28" x14ac:dyDescent="0.25">
      <c r="B17" s="47">
        <f t="shared" si="5"/>
        <v>2022</v>
      </c>
      <c r="C17" s="48">
        <f t="shared" si="12"/>
        <v>44</v>
      </c>
      <c r="D17" s="48">
        <f>D16*(1+$D$3)</f>
        <v>481.66532721200599</v>
      </c>
      <c r="E17" s="48">
        <f t="shared" si="6"/>
        <v>448.50858295588858</v>
      </c>
      <c r="F17" s="48">
        <f>F$19*$D17</f>
        <v>7.3871555072334942</v>
      </c>
      <c r="G17" s="49">
        <f t="shared" si="0"/>
        <v>25.769588748883912</v>
      </c>
      <c r="H17" s="48">
        <f t="shared" si="7"/>
        <v>5.7200000000000006</v>
      </c>
      <c r="I17" s="49">
        <f t="shared" si="2"/>
        <v>20.049588748883913</v>
      </c>
      <c r="J17" s="67">
        <f t="shared" si="3"/>
        <v>6.8168601746205306</v>
      </c>
      <c r="K17" s="49">
        <f t="shared" si="4"/>
        <v>13.232728574263383</v>
      </c>
      <c r="L17" s="48">
        <f t="shared" si="8"/>
        <v>127.41651557355985</v>
      </c>
      <c r="M17" s="48">
        <f>G17*(1-$D$5)</f>
        <v>17.007928574263381</v>
      </c>
      <c r="N17" s="50">
        <f>N16*(1+$D$3)</f>
        <v>46.677646306029139</v>
      </c>
      <c r="O17" s="48">
        <f>O16*(1+$D$3)</f>
        <v>80.738869267530703</v>
      </c>
      <c r="P17" s="48">
        <f>M17+F17-(N17-N16)-(O17-O16+F17)</f>
        <v>12.107293359895692</v>
      </c>
      <c r="Q17" s="51">
        <f t="shared" si="1"/>
        <v>0.133482920151308</v>
      </c>
      <c r="S17" s="57"/>
      <c r="T17" s="57"/>
      <c r="V17" s="57"/>
      <c r="W17" s="57"/>
      <c r="X17" s="55"/>
      <c r="Z17" s="56"/>
      <c r="AB17" s="56"/>
    </row>
    <row r="18" spans="2:28" x14ac:dyDescent="0.25">
      <c r="B18" s="47"/>
      <c r="C18" s="48"/>
      <c r="D18" s="48"/>
      <c r="E18" s="48"/>
      <c r="F18" s="48"/>
      <c r="G18" s="49"/>
      <c r="H18" s="48"/>
      <c r="I18" s="48"/>
      <c r="J18" s="48"/>
      <c r="K18" s="48"/>
      <c r="L18" s="48"/>
      <c r="M18" s="48"/>
      <c r="N18" s="51"/>
      <c r="O18" s="39"/>
      <c r="S18" s="57"/>
      <c r="T18" s="57"/>
      <c r="V18" s="57"/>
      <c r="W18" s="57"/>
      <c r="X18" s="58"/>
      <c r="Z18" s="56"/>
      <c r="AB18" s="56"/>
    </row>
    <row r="19" spans="2:28" x14ac:dyDescent="0.25">
      <c r="C19" s="28" t="s">
        <v>68</v>
      </c>
      <c r="D19" s="59">
        <f>O7</f>
        <v>0.12</v>
      </c>
      <c r="E19" s="59">
        <f>E11/$D$11</f>
        <v>0.95016558902381332</v>
      </c>
      <c r="F19" s="59">
        <f>F11/$D$11</f>
        <v>1.5336697681753667E-2</v>
      </c>
      <c r="G19" s="31"/>
      <c r="H19" s="59">
        <f>H11*1000000/'Transaction Details'!M20</f>
        <v>7.1999999999999995E-2</v>
      </c>
      <c r="I19" s="48"/>
      <c r="J19" s="48"/>
      <c r="L19" s="12"/>
      <c r="N19" s="69">
        <f>O7</f>
        <v>0.12</v>
      </c>
      <c r="O19" s="69">
        <f>O7</f>
        <v>0.12</v>
      </c>
      <c r="P19" s="60"/>
      <c r="Q19" s="39"/>
      <c r="R19" s="61"/>
      <c r="S19" s="61"/>
      <c r="T19" s="61"/>
      <c r="U19" s="61"/>
      <c r="V19" s="61"/>
      <c r="W19" s="61"/>
      <c r="X19" s="62"/>
    </row>
    <row r="20" spans="2:28" ht="18" x14ac:dyDescent="0.35">
      <c r="C20" s="28" t="s">
        <v>76</v>
      </c>
      <c r="D20" s="72">
        <v>0.02</v>
      </c>
      <c r="E20" s="72">
        <v>0.02</v>
      </c>
      <c r="F20" s="72">
        <v>0</v>
      </c>
      <c r="G20" s="24"/>
      <c r="H20" s="83">
        <f>'Transaction Details'!P33</f>
        <v>0.13</v>
      </c>
      <c r="I20" s="24"/>
      <c r="J20" s="24"/>
      <c r="K20" s="68"/>
      <c r="N20" s="82">
        <v>0.05</v>
      </c>
      <c r="O20" s="82">
        <v>0.05</v>
      </c>
      <c r="P20" s="63"/>
      <c r="Q20" s="63"/>
      <c r="R20" s="64"/>
      <c r="S20" s="64"/>
      <c r="X20" s="1"/>
    </row>
    <row r="21" spans="2:28" x14ac:dyDescent="0.25">
      <c r="H21" s="65"/>
    </row>
    <row r="22" spans="2:28" x14ac:dyDescent="0.25">
      <c r="H22" s="65"/>
    </row>
    <row r="23" spans="2:28" ht="17.25" x14ac:dyDescent="0.25">
      <c r="B23" s="28" t="s">
        <v>77</v>
      </c>
      <c r="H23" s="65"/>
    </row>
    <row r="24" spans="2:28" x14ac:dyDescent="0.25">
      <c r="C24" t="s">
        <v>78</v>
      </c>
    </row>
    <row r="25" spans="2:28" x14ac:dyDescent="0.25">
      <c r="C25" t="s">
        <v>79</v>
      </c>
    </row>
  </sheetData>
  <mergeCells count="9">
    <mergeCell ref="A6:C6"/>
    <mergeCell ref="A7:C7"/>
    <mergeCell ref="X12:X17"/>
    <mergeCell ref="A1:P1"/>
    <mergeCell ref="A3:C3"/>
    <mergeCell ref="F3:H3"/>
    <mergeCell ref="N3:O3"/>
    <mergeCell ref="A4:C4"/>
    <mergeCell ref="A5:C5"/>
  </mergeCells>
  <pageMargins left="0.7" right="0.7" top="0.75" bottom="0.75" header="0.3" footer="0.3"/>
  <pageSetup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Transaction Details</vt:lpstr>
      <vt:lpstr>VAL without adjusts</vt:lpstr>
      <vt:lpstr>VAL with Investor Adjusts</vt:lpstr>
    </vt:vector>
  </TitlesOfParts>
  <Company>Westminster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Anyone</dc:creator>
  <cp:lastModifiedBy>Richard Haskell</cp:lastModifiedBy>
  <cp:lastPrinted>2015-10-22T13:48:26Z</cp:lastPrinted>
  <dcterms:created xsi:type="dcterms:W3CDTF">2015-10-21T15:49:29Z</dcterms:created>
  <dcterms:modified xsi:type="dcterms:W3CDTF">2018-10-05T14:12:45Z</dcterms:modified>
</cp:coreProperties>
</file>