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askell\OneDrive\ICP - ICC\ICP - Market Studies\Merit Medical 11-2016\"/>
    </mc:Choice>
  </mc:AlternateContent>
  <bookViews>
    <workbookView xWindow="0" yWindow="0" windowWidth="28800" windowHeight="12435"/>
  </bookViews>
  <sheets>
    <sheet name="Financial Statements" sheetId="3" r:id="rId1"/>
    <sheet name="Concensus Estimates" sheetId="1" r:id="rId2"/>
    <sheet name="Tax Estimator" sheetId="4" r:id="rId3"/>
    <sheet name="Valuation g = IR x ROIC" sheetId="5" r:id="rId4"/>
    <sheet name="Valuation g = % ∆ GDP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5" l="1"/>
  <c r="E9" i="5"/>
  <c r="F52" i="5"/>
  <c r="J36" i="6" l="1"/>
  <c r="D33" i="6"/>
  <c r="L31" i="6"/>
  <c r="H31" i="6"/>
  <c r="L30" i="6"/>
  <c r="H30" i="6"/>
  <c r="L29" i="6"/>
  <c r="I29" i="6"/>
  <c r="J29" i="6" s="1"/>
  <c r="H29" i="6"/>
  <c r="D29" i="6"/>
  <c r="E29" i="6" s="1"/>
  <c r="F29" i="6" s="1"/>
  <c r="E25" i="6"/>
  <c r="E24" i="6"/>
  <c r="D32" i="6" s="1"/>
  <c r="E23" i="6"/>
  <c r="D31" i="6" s="1"/>
  <c r="E22" i="6"/>
  <c r="D30" i="6" s="1"/>
  <c r="E21" i="6"/>
  <c r="C21" i="6"/>
  <c r="C22" i="6" s="1"/>
  <c r="N20" i="6"/>
  <c r="E20" i="6"/>
  <c r="O20" i="6" s="1"/>
  <c r="N19" i="6"/>
  <c r="E9" i="6" s="1"/>
  <c r="H19" i="6"/>
  <c r="E19" i="6"/>
  <c r="O19" i="6" s="1"/>
  <c r="N18" i="6"/>
  <c r="H18" i="6"/>
  <c r="E18" i="6"/>
  <c r="O18" i="6" s="1"/>
  <c r="L12" i="6"/>
  <c r="P20" i="6" s="1"/>
  <c r="Q20" i="6" s="1"/>
  <c r="E11" i="6"/>
  <c r="N9" i="6"/>
  <c r="N12" i="6" s="1"/>
  <c r="P18" i="6" s="1"/>
  <c r="Q18" i="6" s="1"/>
  <c r="M9" i="6"/>
  <c r="M12" i="6" s="1"/>
  <c r="P19" i="6" s="1"/>
  <c r="Q19" i="6" s="1"/>
  <c r="L9" i="6"/>
  <c r="E8" i="6"/>
  <c r="M29" i="6" s="1"/>
  <c r="N29" i="6" s="1"/>
  <c r="J53" i="5"/>
  <c r="J52" i="5"/>
  <c r="J51" i="5"/>
  <c r="J48" i="5"/>
  <c r="J46" i="5"/>
  <c r="J47" i="5" s="1"/>
  <c r="J42" i="5"/>
  <c r="J43" i="5"/>
  <c r="J41" i="5"/>
  <c r="J36" i="5"/>
  <c r="J37" i="5"/>
  <c r="J38" i="5" s="1"/>
  <c r="J35" i="5"/>
  <c r="M33" i="5"/>
  <c r="M32" i="5"/>
  <c r="M31" i="5"/>
  <c r="M30" i="5"/>
  <c r="M29" i="5"/>
  <c r="I29" i="5"/>
  <c r="I33" i="5"/>
  <c r="I32" i="5"/>
  <c r="I31" i="5"/>
  <c r="I30" i="5"/>
  <c r="E29" i="5"/>
  <c r="H33" i="5"/>
  <c r="H32" i="5"/>
  <c r="H31" i="5"/>
  <c r="H30" i="5"/>
  <c r="H29" i="5"/>
  <c r="I31" i="6" l="1"/>
  <c r="E32" i="6"/>
  <c r="M31" i="6"/>
  <c r="E31" i="6"/>
  <c r="M30" i="6"/>
  <c r="N30" i="6" s="1"/>
  <c r="N31" i="6" s="1"/>
  <c r="C23" i="6"/>
  <c r="C24" i="6" s="1"/>
  <c r="E30" i="6"/>
  <c r="F30" i="6"/>
  <c r="F31" i="6" s="1"/>
  <c r="F32" i="6" s="1"/>
  <c r="F33" i="6" s="1"/>
  <c r="F35" i="6" s="1"/>
  <c r="I30" i="6"/>
  <c r="J30" i="6" s="1"/>
  <c r="J31" i="6" s="1"/>
  <c r="I24" i="6"/>
  <c r="E33" i="6"/>
  <c r="J29" i="5"/>
  <c r="J30" i="5" s="1"/>
  <c r="J31" i="5" s="1"/>
  <c r="J32" i="5" s="1"/>
  <c r="J33" i="5" s="1"/>
  <c r="H32" i="6" l="1"/>
  <c r="I32" i="6" s="1"/>
  <c r="J32" i="6" s="1"/>
  <c r="L32" i="6"/>
  <c r="M32" i="6" s="1"/>
  <c r="N32" i="6" s="1"/>
  <c r="J46" i="6"/>
  <c r="J47" i="6" s="1"/>
  <c r="N41" i="6"/>
  <c r="N42" i="6" s="1"/>
  <c r="H13" i="6"/>
  <c r="F51" i="6" s="1"/>
  <c r="F52" i="6" s="1"/>
  <c r="F53" i="6" s="1"/>
  <c r="F46" i="6"/>
  <c r="F47" i="6" s="1"/>
  <c r="F48" i="6" s="1"/>
  <c r="J41" i="6"/>
  <c r="J42" i="6" s="1"/>
  <c r="F41" i="6"/>
  <c r="F42" i="6" s="1"/>
  <c r="F43" i="6" s="1"/>
  <c r="N46" i="6"/>
  <c r="N47" i="6" s="1"/>
  <c r="F36" i="6"/>
  <c r="F37" i="6" s="1"/>
  <c r="F38" i="6" s="1"/>
  <c r="J37" i="6"/>
  <c r="I25" i="6"/>
  <c r="J33" i="6" l="1"/>
  <c r="J35" i="6" s="1"/>
  <c r="N51" i="6"/>
  <c r="N52" i="6" s="1"/>
  <c r="J51" i="6"/>
  <c r="J52" i="6" s="1"/>
  <c r="H33" i="6"/>
  <c r="I33" i="6" s="1"/>
  <c r="L33" i="6"/>
  <c r="J38" i="6" l="1"/>
  <c r="J53" i="6"/>
  <c r="J43" i="6"/>
  <c r="J48" i="6"/>
  <c r="M33" i="6"/>
  <c r="N33" i="6" s="1"/>
  <c r="N36" i="6"/>
  <c r="N37" i="6" s="1"/>
  <c r="N35" i="6" l="1"/>
  <c r="N43" i="6"/>
  <c r="N53" i="6" l="1"/>
  <c r="N48" i="6"/>
  <c r="N38" i="6"/>
  <c r="E11" i="5" l="1"/>
  <c r="L31" i="5" l="1"/>
  <c r="L30" i="5"/>
  <c r="L29" i="5"/>
  <c r="N20" i="5"/>
  <c r="E8" i="5"/>
  <c r="E25" i="5"/>
  <c r="M105" i="3"/>
  <c r="L105" i="3"/>
  <c r="K105" i="3"/>
  <c r="J105" i="3"/>
  <c r="I105" i="3"/>
  <c r="H105" i="3"/>
  <c r="G105" i="3"/>
  <c r="F105" i="3"/>
  <c r="E105" i="3"/>
  <c r="D105" i="3"/>
  <c r="D90" i="3"/>
  <c r="D88" i="3"/>
  <c r="D81" i="3"/>
  <c r="D79" i="3"/>
  <c r="D72" i="3"/>
  <c r="D64" i="3"/>
  <c r="D62" i="3"/>
  <c r="D49" i="3"/>
  <c r="D33" i="5" l="1"/>
  <c r="L9" i="5"/>
  <c r="L12" i="5" s="1"/>
  <c r="P20" i="5" s="1"/>
  <c r="Q20" i="5" s="1"/>
  <c r="N18" i="5"/>
  <c r="N19" i="5"/>
  <c r="E33" i="5" l="1"/>
  <c r="N9" i="5"/>
  <c r="N12" i="5" s="1"/>
  <c r="P18" i="5" s="1"/>
  <c r="M9" i="5"/>
  <c r="M12" i="5" s="1"/>
  <c r="P19" i="5" s="1"/>
  <c r="H18" i="5"/>
  <c r="H19" i="5"/>
  <c r="Q18" i="5"/>
  <c r="E18" i="5"/>
  <c r="O18" i="5" s="1"/>
  <c r="Q19" i="5" l="1"/>
  <c r="E19" i="5"/>
  <c r="O19" i="5" s="1"/>
  <c r="N29" i="5"/>
  <c r="E24" i="5"/>
  <c r="E23" i="5"/>
  <c r="D31" i="5" s="1"/>
  <c r="E22" i="5"/>
  <c r="D30" i="5" s="1"/>
  <c r="E21" i="5"/>
  <c r="D29" i="5" s="1"/>
  <c r="C21" i="5"/>
  <c r="E20" i="5"/>
  <c r="M12" i="4"/>
  <c r="M17" i="4"/>
  <c r="M16" i="4"/>
  <c r="M15" i="4"/>
  <c r="M14" i="4"/>
  <c r="M13" i="4"/>
  <c r="F20" i="4"/>
  <c r="F19" i="4"/>
  <c r="F18" i="4"/>
  <c r="F17" i="4"/>
  <c r="J16" i="4"/>
  <c r="J17" i="4" s="1"/>
  <c r="F16" i="4"/>
  <c r="J15" i="4"/>
  <c r="F15" i="4"/>
  <c r="J14" i="4"/>
  <c r="F14" i="4"/>
  <c r="F13" i="4"/>
  <c r="G13" i="4" s="1"/>
  <c r="G14" i="4" s="1"/>
  <c r="O20" i="5" l="1"/>
  <c r="E10" i="5"/>
  <c r="I24" i="5"/>
  <c r="I25" i="5" s="1"/>
  <c r="L33" i="5" s="1"/>
  <c r="D32" i="5"/>
  <c r="N30" i="5"/>
  <c r="C22" i="5"/>
  <c r="E30" i="5" s="1"/>
  <c r="F29" i="5"/>
  <c r="G15" i="4"/>
  <c r="G16" i="4" s="1"/>
  <c r="G17" i="4" s="1"/>
  <c r="G18" i="4" s="1"/>
  <c r="G19" i="4" s="1"/>
  <c r="G20" i="4" s="1"/>
  <c r="M62" i="3"/>
  <c r="L62" i="3"/>
  <c r="K62" i="3"/>
  <c r="J62" i="3"/>
  <c r="I62" i="3"/>
  <c r="H62" i="3"/>
  <c r="G62" i="3"/>
  <c r="F62" i="3"/>
  <c r="E62" i="3"/>
  <c r="E64" i="3" s="1"/>
  <c r="M88" i="3"/>
  <c r="L88" i="3"/>
  <c r="K88" i="3"/>
  <c r="J88" i="3"/>
  <c r="I88" i="3"/>
  <c r="H88" i="3"/>
  <c r="G88" i="3"/>
  <c r="F88" i="3"/>
  <c r="E88" i="3"/>
  <c r="E79" i="3"/>
  <c r="M72" i="3"/>
  <c r="M81" i="3" s="1"/>
  <c r="M90" i="3" s="1"/>
  <c r="L72" i="3"/>
  <c r="L81" i="3" s="1"/>
  <c r="K72" i="3"/>
  <c r="K81" i="3" s="1"/>
  <c r="J72" i="3"/>
  <c r="J81" i="3" s="1"/>
  <c r="J90" i="3" s="1"/>
  <c r="I72" i="3"/>
  <c r="I81" i="3" s="1"/>
  <c r="I90" i="3" s="1"/>
  <c r="H72" i="3"/>
  <c r="H81" i="3" s="1"/>
  <c r="G72" i="3"/>
  <c r="G81" i="3" s="1"/>
  <c r="F72" i="3"/>
  <c r="F81" i="3" s="1"/>
  <c r="F90" i="3" s="1"/>
  <c r="E72" i="3"/>
  <c r="M49" i="3"/>
  <c r="L49" i="3"/>
  <c r="K49" i="3"/>
  <c r="K64" i="3" s="1"/>
  <c r="J49" i="3"/>
  <c r="J64" i="3" s="1"/>
  <c r="I49" i="3"/>
  <c r="H49" i="3"/>
  <c r="G49" i="3"/>
  <c r="G64" i="3" s="1"/>
  <c r="F49" i="3"/>
  <c r="F64" i="3" s="1"/>
  <c r="E49" i="3"/>
  <c r="M15" i="3"/>
  <c r="M18" i="3" s="1"/>
  <c r="M23" i="3" s="1"/>
  <c r="M25" i="3" s="1"/>
  <c r="L15" i="3"/>
  <c r="L18" i="3" s="1"/>
  <c r="L23" i="3" s="1"/>
  <c r="L25" i="3" s="1"/>
  <c r="K15" i="3"/>
  <c r="K18" i="3" s="1"/>
  <c r="K23" i="3" s="1"/>
  <c r="K25" i="3" s="1"/>
  <c r="J15" i="3"/>
  <c r="J18" i="3" s="1"/>
  <c r="J23" i="3" s="1"/>
  <c r="J25" i="3" s="1"/>
  <c r="I15" i="3"/>
  <c r="I18" i="3" s="1"/>
  <c r="I23" i="3" s="1"/>
  <c r="I25" i="3" s="1"/>
  <c r="H15" i="3"/>
  <c r="H18" i="3" s="1"/>
  <c r="H23" i="3" s="1"/>
  <c r="H25" i="3" s="1"/>
  <c r="G15" i="3"/>
  <c r="G18" i="3" s="1"/>
  <c r="G23" i="3" s="1"/>
  <c r="G25" i="3" s="1"/>
  <c r="F15" i="3"/>
  <c r="F18" i="3" s="1"/>
  <c r="F23" i="3" s="1"/>
  <c r="F25" i="3" s="1"/>
  <c r="E15" i="3"/>
  <c r="E18" i="3" s="1"/>
  <c r="E23" i="3" s="1"/>
  <c r="E25" i="3" s="1"/>
  <c r="D15" i="3"/>
  <c r="D18" i="3" s="1"/>
  <c r="D23" i="3" s="1"/>
  <c r="D25" i="3" s="1"/>
  <c r="L32" i="5" l="1"/>
  <c r="F46" i="5"/>
  <c r="F41" i="5"/>
  <c r="N46" i="5"/>
  <c r="N47" i="5" s="1"/>
  <c r="N41" i="5"/>
  <c r="N42" i="5" s="1"/>
  <c r="F36" i="5"/>
  <c r="F37" i="5" s="1"/>
  <c r="N36" i="5"/>
  <c r="N37" i="5" s="1"/>
  <c r="M64" i="3"/>
  <c r="H90" i="3"/>
  <c r="L90" i="3"/>
  <c r="H64" i="3"/>
  <c r="L64" i="3"/>
  <c r="G90" i="3"/>
  <c r="K90" i="3"/>
  <c r="F30" i="5"/>
  <c r="C23" i="5"/>
  <c r="N31" i="5"/>
  <c r="D7" i="4"/>
  <c r="E7" i="4" s="1"/>
  <c r="I64" i="3"/>
  <c r="E81" i="3"/>
  <c r="E90" i="3" s="1"/>
  <c r="E31" i="5" l="1"/>
  <c r="F31" i="5" s="1"/>
  <c r="H13" i="5"/>
  <c r="F47" i="5"/>
  <c r="F42" i="5"/>
  <c r="C24" i="5"/>
  <c r="E32" i="5" s="1"/>
  <c r="N32" i="5"/>
  <c r="F32" i="5" l="1"/>
  <c r="N51" i="5"/>
  <c r="N52" i="5" s="1"/>
  <c r="N33" i="5"/>
  <c r="F33" i="5"/>
  <c r="F35" i="5" s="1"/>
  <c r="F43" i="5" s="1"/>
  <c r="F53" i="5" l="1"/>
  <c r="N35" i="5"/>
  <c r="N48" i="5" s="1"/>
  <c r="N43" i="5"/>
  <c r="F38" i="5"/>
  <c r="F48" i="5"/>
  <c r="N53" i="5" l="1"/>
  <c r="N38" i="5"/>
</calcChain>
</file>

<file path=xl/sharedStrings.xml><?xml version="1.0" encoding="utf-8"?>
<sst xmlns="http://schemas.openxmlformats.org/spreadsheetml/2006/main" count="583" uniqueCount="237">
  <si>
    <t>Merit Medical Systems, Inc.</t>
  </si>
  <si>
    <t xml:space="preserve">MMSI   589889104   2580555   NASDAQ    Common stock    </t>
  </si>
  <si>
    <t>Earnings Per Share</t>
  </si>
  <si>
    <t>CY '15</t>
  </si>
  <si>
    <t>CY '16E</t>
  </si>
  <si>
    <t>CY '17E</t>
  </si>
  <si>
    <t>CY '18E</t>
  </si>
  <si>
    <t>CY '19E</t>
  </si>
  <si>
    <t>CY '20E</t>
  </si>
  <si>
    <t>CY '21E</t>
  </si>
  <si>
    <t>Dec '15</t>
  </si>
  <si>
    <t>Dec '16E</t>
  </si>
  <si>
    <t>Dec '17E</t>
  </si>
  <si>
    <t>Dec '18E</t>
  </si>
  <si>
    <t>Dec '19E</t>
  </si>
  <si>
    <t>Dec '20E</t>
  </si>
  <si>
    <t>Dec '21E</t>
  </si>
  <si>
    <t>EPS</t>
  </si>
  <si>
    <t>--</t>
  </si>
  <si>
    <t>EPS - GAAP</t>
  </si>
  <si>
    <t>EPS - Non GAAP</t>
  </si>
  <si>
    <t>Product Segments (M)</t>
  </si>
  <si>
    <t>Sales</t>
  </si>
  <si>
    <t>Stand-Alone Devices</t>
  </si>
  <si>
    <t>Custom Kits &amp; Procedure Trays</t>
  </si>
  <si>
    <t>Inflation Devices</t>
  </si>
  <si>
    <t>Catheters</t>
  </si>
  <si>
    <t>BioSphere Embolization Devices</t>
  </si>
  <si>
    <t>Endotek Endoscopy</t>
  </si>
  <si>
    <t>HeRO Graft</t>
  </si>
  <si>
    <t>Malvern Division and Other</t>
  </si>
  <si>
    <t>Income Statement (M)</t>
  </si>
  <si>
    <t>Cost of Sales</t>
  </si>
  <si>
    <t>Organic Growth (%)</t>
  </si>
  <si>
    <t>Gross Income</t>
  </si>
  <si>
    <t>SG&amp;A Expense</t>
  </si>
  <si>
    <t>Research &amp; Development</t>
  </si>
  <si>
    <t>EBITDA</t>
  </si>
  <si>
    <t>EBITDA Non-GAAP</t>
  </si>
  <si>
    <t>Depr. &amp; Amort.</t>
  </si>
  <si>
    <t>Operating Income</t>
  </si>
  <si>
    <t>Operating Income - Non GAAP</t>
  </si>
  <si>
    <t>Interest Expense</t>
  </si>
  <si>
    <t>Pretax Income</t>
  </si>
  <si>
    <t>Pretax Income - Non GAAP</t>
  </si>
  <si>
    <t>Tax Expense</t>
  </si>
  <si>
    <t>Net Income</t>
  </si>
  <si>
    <t>Net Income - Non GAAP</t>
  </si>
  <si>
    <t>Net Income - GAAP</t>
  </si>
  <si>
    <t>Cash Flow (M)</t>
  </si>
  <si>
    <t>Capital Expenditures</t>
  </si>
  <si>
    <t>Free Cash Flow</t>
  </si>
  <si>
    <t>Cash Flow from Operations</t>
  </si>
  <si>
    <t>Cash Flow from Investing</t>
  </si>
  <si>
    <t>Cash Flow from Financing</t>
  </si>
  <si>
    <t>Valuation</t>
  </si>
  <si>
    <t>Price/Earnings (x)</t>
  </si>
  <si>
    <t>PEG Ratio (x)</t>
  </si>
  <si>
    <t>Price/Book Value (x)</t>
  </si>
  <si>
    <t>Price/Tangible Book Value (x)</t>
  </si>
  <si>
    <t>Price/Cash Flow (x)</t>
  </si>
  <si>
    <t>Price/Free Cash Flow (x)</t>
  </si>
  <si>
    <t>Price/Sales (x)</t>
  </si>
  <si>
    <t>Enterprise Value/Sales (x)</t>
  </si>
  <si>
    <t>Enterprise Value/EBITDA (x)</t>
  </si>
  <si>
    <t>Enterprise Value/EBIT (x)</t>
  </si>
  <si>
    <t>Enterprise Value/FCF (x)</t>
  </si>
  <si>
    <t>Dividend Yield (%)</t>
  </si>
  <si>
    <t>Sales/Share (x)</t>
  </si>
  <si>
    <t>Per Share</t>
  </si>
  <si>
    <t>Analyst Concensus Estimates</t>
  </si>
  <si>
    <t>Income Statement (Industrial)</t>
  </si>
  <si>
    <t>Source : FactSet Fundamentals</t>
  </si>
  <si>
    <t>All figures in millions of U.S. Dollar, except per share items</t>
  </si>
  <si>
    <t>Year/Year growth</t>
  </si>
  <si>
    <t>Dec '14</t>
  </si>
  <si>
    <t>Dec '13</t>
  </si>
  <si>
    <t>Dec '12</t>
  </si>
  <si>
    <t>Dec '11</t>
  </si>
  <si>
    <t>Dec '10</t>
  </si>
  <si>
    <t>Dec '09</t>
  </si>
  <si>
    <t>Dec '08</t>
  </si>
  <si>
    <t>Dec '07</t>
  </si>
  <si>
    <t>LTM</t>
  </si>
  <si>
    <t>365 DAYS</t>
  </si>
  <si>
    <t>366 DAYS</t>
  </si>
  <si>
    <t>Income Statement</t>
  </si>
  <si>
    <t>COGS excluding D&amp;A</t>
  </si>
  <si>
    <t>Depreciation</t>
  </si>
  <si>
    <t>Amortization of Intangibles</t>
  </si>
  <si>
    <t>Other SG&amp;A</t>
  </si>
  <si>
    <t>EBIT (Operating Income)</t>
  </si>
  <si>
    <t>Nonoperating Income - Net</t>
  </si>
  <si>
    <t>Gross Interest Expense</t>
  </si>
  <si>
    <t>Interest Capitalized</t>
  </si>
  <si>
    <t>Unusual Expense - Net</t>
  </si>
  <si>
    <t>Income Taxes</t>
  </si>
  <si>
    <t>EPS (recurring)</t>
  </si>
  <si>
    <t>EPS (diluted)</t>
  </si>
  <si>
    <t>Diluted Shares Outstanding</t>
  </si>
  <si>
    <t>Total Shares Outstanding</t>
  </si>
  <si>
    <t>Earnings Persistence</t>
  </si>
  <si>
    <t>Balance Sheet (Industrial)</t>
  </si>
  <si>
    <t>Balance Sheet</t>
  </si>
  <si>
    <t>Assets</t>
  </si>
  <si>
    <t>Cash &amp; Short-Term Investments</t>
  </si>
  <si>
    <t>Short-Term Receivables</t>
  </si>
  <si>
    <t>Inventories</t>
  </si>
  <si>
    <t>Other Current Assets</t>
  </si>
  <si>
    <t>Total Current Assets</t>
  </si>
  <si>
    <t>Buildings</t>
  </si>
  <si>
    <t>Land &amp; Improvements</t>
  </si>
  <si>
    <t>Machinery &amp; Equipment</t>
  </si>
  <si>
    <t>Construction in Progress</t>
  </si>
  <si>
    <t>Other Property, Plant &amp; Equipment</t>
  </si>
  <si>
    <t>Accumulated Depreciation</t>
  </si>
  <si>
    <t>Total Investments and Advances</t>
  </si>
  <si>
    <t>Intangible Assets</t>
  </si>
  <si>
    <t>Deferred Tax Assets</t>
  </si>
  <si>
    <t>Other Assets</t>
  </si>
  <si>
    <t>Total Assets</t>
  </si>
  <si>
    <t>Liabilities &amp; Shareholders' Equity</t>
  </si>
  <si>
    <t>ST Debt &amp; Curr. Portion LT Debt</t>
  </si>
  <si>
    <t>Accounts Payable</t>
  </si>
  <si>
    <t>Income Tax Payable</t>
  </si>
  <si>
    <t>Other Current Liabilities</t>
  </si>
  <si>
    <t>Total Current Liabilities</t>
  </si>
  <si>
    <t>Long-Term Debt</t>
  </si>
  <si>
    <t>Provision for Risks &amp; Charges</t>
  </si>
  <si>
    <t>Deferred Tax Liabilities</t>
  </si>
  <si>
    <t>Other Liabilities</t>
  </si>
  <si>
    <t>Total Liabilities</t>
  </si>
  <si>
    <t>Common Stock Par/Carry Value</t>
  </si>
  <si>
    <t>Cumulative Translation Adjustment/Unrealized For. Exch. Gain</t>
  </si>
  <si>
    <t>Other Appropriated Reserves</t>
  </si>
  <si>
    <t>Total Liabilities &amp; Shareholders' Equity</t>
  </si>
  <si>
    <t>Book Value per Share</t>
  </si>
  <si>
    <t>Tangible Book Value per Share</t>
  </si>
  <si>
    <t>Current Assets</t>
  </si>
  <si>
    <t>Long-term (fixed) Assets</t>
  </si>
  <si>
    <t>Total Long Term Liabilities</t>
  </si>
  <si>
    <t>Long Term Liabilities</t>
  </si>
  <si>
    <t>Accumulated Retained Earnings</t>
  </si>
  <si>
    <t>Total Long-Term (fixed) Assets</t>
  </si>
  <si>
    <t>Shareholder Equity</t>
  </si>
  <si>
    <t>Total Shareholder Equity</t>
  </si>
  <si>
    <t>Tax Estimator</t>
  </si>
  <si>
    <t>Pre-Tax NI</t>
  </si>
  <si>
    <t>TAX</t>
  </si>
  <si>
    <t>Avg Tax Rate</t>
  </si>
  <si>
    <t>Taxable Income Over</t>
  </si>
  <si>
    <t>But Not Over</t>
  </si>
  <si>
    <t>Tax Rate</t>
  </si>
  <si>
    <t>Tax in bracket</t>
  </si>
  <si>
    <t>Running Total</t>
  </si>
  <si>
    <t>EBIT</t>
  </si>
  <si>
    <t>Tax</t>
  </si>
  <si>
    <t>Base Year</t>
  </si>
  <si>
    <t>Target Multiple</t>
  </si>
  <si>
    <t>Year</t>
  </si>
  <si>
    <t>NOPLAT</t>
  </si>
  <si>
    <t>Pre-Tax Income</t>
  </si>
  <si>
    <t>FCF</t>
  </si>
  <si>
    <t>FA</t>
  </si>
  <si>
    <t>CA</t>
  </si>
  <si>
    <t>CL</t>
  </si>
  <si>
    <t>EV/EBIT Multiple</t>
  </si>
  <si>
    <r>
      <t>DCF</t>
    </r>
    <r>
      <rPr>
        <b/>
        <vertAlign val="subscript"/>
        <sz val="11"/>
        <color theme="1"/>
        <rFont val="Calibri"/>
        <family val="2"/>
        <scheme val="minor"/>
      </rPr>
      <t>NOPLAT</t>
    </r>
  </si>
  <si>
    <r>
      <t>DCF</t>
    </r>
    <r>
      <rPr>
        <b/>
        <vertAlign val="subscript"/>
        <sz val="11"/>
        <color theme="1"/>
        <rFont val="Calibri"/>
        <family val="2"/>
        <scheme val="minor"/>
      </rPr>
      <t>FCF</t>
    </r>
  </si>
  <si>
    <r>
      <t>PV</t>
    </r>
    <r>
      <rPr>
        <b/>
        <vertAlign val="subscript"/>
        <sz val="11"/>
        <color theme="1"/>
        <rFont val="Calibri"/>
        <family val="2"/>
        <scheme val="minor"/>
      </rPr>
      <t>NOPLAT</t>
    </r>
  </si>
  <si>
    <r>
      <t>∑ PV</t>
    </r>
    <r>
      <rPr>
        <b/>
        <vertAlign val="subscript"/>
        <sz val="11"/>
        <color theme="1"/>
        <rFont val="Calibri"/>
        <family val="2"/>
      </rPr>
      <t>NOPLAT</t>
    </r>
  </si>
  <si>
    <r>
      <t>PV</t>
    </r>
    <r>
      <rPr>
        <b/>
        <vertAlign val="subscript"/>
        <sz val="11"/>
        <color theme="1"/>
        <rFont val="Calibri"/>
        <family val="2"/>
      </rPr>
      <t>FCF</t>
    </r>
  </si>
  <si>
    <r>
      <t>∑ PV</t>
    </r>
    <r>
      <rPr>
        <b/>
        <vertAlign val="subscript"/>
        <sz val="11"/>
        <color theme="1"/>
        <rFont val="Calibri"/>
        <family val="2"/>
      </rPr>
      <t>FCF</t>
    </r>
  </si>
  <si>
    <r>
      <t>CV</t>
    </r>
    <r>
      <rPr>
        <b/>
        <vertAlign val="subscript"/>
        <sz val="11"/>
        <color theme="1"/>
        <rFont val="Calibri"/>
        <family val="2"/>
        <scheme val="minor"/>
      </rPr>
      <t>KVD</t>
    </r>
  </si>
  <si>
    <r>
      <t>PV</t>
    </r>
    <r>
      <rPr>
        <b/>
        <vertAlign val="subscript"/>
        <sz val="11"/>
        <color theme="1"/>
        <rFont val="Calibri"/>
        <family val="2"/>
        <scheme val="minor"/>
      </rPr>
      <t>CV</t>
    </r>
  </si>
  <si>
    <r>
      <t>MULTIPLE</t>
    </r>
    <r>
      <rPr>
        <b/>
        <vertAlign val="subscript"/>
        <sz val="11"/>
        <color theme="1"/>
        <rFont val="Calibri"/>
        <family val="2"/>
        <scheme val="minor"/>
      </rPr>
      <t>KVD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</si>
  <si>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Calculated using the KVD form for continuing value with no explicit period</t>
    </r>
  </si>
  <si>
    <r>
      <t>FCF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</si>
  <si>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Interest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</si>
  <si>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EV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</si>
  <si>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Total common shares outstanding</t>
  </si>
  <si>
    <r>
      <t>WACC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</si>
  <si>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Consensus estimates for interest expense taken as difference between Operating Income and Pretax Income</t>
    </r>
  </si>
  <si>
    <t xml:space="preserve">   market value of the firm's long-term debt.  As such, this analysis uses a book value approach to enterprise value</t>
  </si>
  <si>
    <t>Market Cap - Common</t>
  </si>
  <si>
    <t>Calculations for illustrative purposes only and not intended to reflect actual or expected values</t>
  </si>
  <si>
    <t>Merit Medical Systems</t>
  </si>
  <si>
    <t>Cosing share price</t>
  </si>
  <si>
    <t>Book Value Long-Term Debt</t>
  </si>
  <si>
    <t>Cash</t>
  </si>
  <si>
    <r>
      <rPr>
        <b/>
        <sz val="11"/>
        <color theme="1"/>
        <rFont val="Calibri"/>
        <family val="2"/>
        <scheme val="minor"/>
      </rPr>
      <t>Enterprise Value (EV)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</si>
  <si>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Dec '16</t>
  </si>
  <si>
    <t>Price / Sales</t>
  </si>
  <si>
    <t>Price / Earnings</t>
  </si>
  <si>
    <t>Price / Book Value</t>
  </si>
  <si>
    <t>Price / Tangible Book Value</t>
  </si>
  <si>
    <t>Price / Cash Flow</t>
  </si>
  <si>
    <t>Price / Free Cash Flow</t>
  </si>
  <si>
    <t>Enterprise Value / EBIT</t>
  </si>
  <si>
    <t>Enterprise Value / EBITDA</t>
  </si>
  <si>
    <t>Enterprise Value / Sales</t>
  </si>
  <si>
    <t>EBIT / Interest Expense (Int. Coverage)</t>
  </si>
  <si>
    <t>Ratios</t>
  </si>
  <si>
    <t>Enterprise Value</t>
  </si>
  <si>
    <r>
      <t>ROIC</t>
    </r>
    <r>
      <rPr>
        <b/>
        <vertAlign val="superscript"/>
        <sz val="11"/>
        <color theme="1"/>
        <rFont val="Calibri"/>
        <family val="2"/>
        <scheme val="minor"/>
      </rPr>
      <t>6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</si>
  <si>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ROIC taken as NOPLAT/IC</t>
    </r>
  </si>
  <si>
    <r>
      <t>NOPLAT</t>
    </r>
    <r>
      <rPr>
        <b/>
        <vertAlign val="superscript"/>
        <sz val="11"/>
        <color theme="1"/>
        <rFont val="Calibri"/>
        <family val="2"/>
        <scheme val="minor"/>
      </rPr>
      <t>8</t>
    </r>
  </si>
  <si>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NOPLAT taken as EBIT x (1-T) with T = average tax rate on EBIT</t>
    </r>
  </si>
  <si>
    <r>
      <t xml:space="preserve">7 </t>
    </r>
    <r>
      <rPr>
        <sz val="11"/>
        <color theme="1"/>
        <rFont val="Calibri"/>
        <family val="2"/>
        <scheme val="minor"/>
      </rPr>
      <t>IC taken as FA + (CA - CL) = FA + NWC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</si>
  <si>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WACC taken as 7.8718% as noted in Bloomberg for Merit Medical as of 12/31/2016</t>
    </r>
  </si>
  <si>
    <t>Illustration based on 2017-2021 Analyst Concensus Estimates and 2014-2016 values as reported by FactSet 4-11-2017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</si>
  <si>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FCF for 2020 and 2021 estimated based on change in NOPLAT for two prior years</t>
    </r>
  </si>
  <si>
    <r>
      <t>Observed Multiple</t>
    </r>
    <r>
      <rPr>
        <b/>
        <vertAlign val="superscript"/>
        <sz val="11"/>
        <color theme="1"/>
        <rFont val="Calibri"/>
        <family val="2"/>
        <scheme val="minor"/>
      </rPr>
      <t>9</t>
    </r>
  </si>
  <si>
    <r>
      <t>Target Multiple</t>
    </r>
    <r>
      <rPr>
        <b/>
        <vertAlign val="superscript"/>
        <sz val="11"/>
        <color theme="1"/>
        <rFont val="Calibri"/>
        <family val="2"/>
        <scheme val="minor"/>
      </rPr>
      <t>10</t>
    </r>
  </si>
  <si>
    <r>
      <t>KVD Multiple</t>
    </r>
    <r>
      <rPr>
        <b/>
        <vertAlign val="superscript"/>
        <sz val="11"/>
        <color theme="1"/>
        <rFont val="Calibri"/>
        <family val="2"/>
        <scheme val="minor"/>
      </rPr>
      <t>11</t>
    </r>
  </si>
  <si>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 Observed Multiple = EV/EBIT as of Base Year</t>
    </r>
  </si>
  <si>
    <r>
      <rPr>
        <vertAlign val="super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Target Multiple based on hypothetical exit multiple chosen with discretion</t>
    </r>
  </si>
  <si>
    <r>
      <rPr>
        <vertAlign val="super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 xml:space="preserve"> IR (Investment Rate) = Net Investment / NOPLAT = (∆IC + DEP)/NOPLAT </t>
    </r>
  </si>
  <si>
    <r>
      <t>IR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vertAlign val="superscript"/>
        <sz val="11"/>
        <color theme="1"/>
        <rFont val="Calibri"/>
        <family val="2"/>
        <scheme val="minor"/>
      </rPr>
      <t>12</t>
    </r>
  </si>
  <si>
    <r>
      <t>g</t>
    </r>
    <r>
      <rPr>
        <b/>
        <vertAlign val="superscript"/>
        <sz val="11"/>
        <color theme="1"/>
        <rFont val="Calibri"/>
        <family val="2"/>
        <scheme val="minor"/>
      </rPr>
      <t>13</t>
    </r>
  </si>
  <si>
    <r>
      <rPr>
        <vertAlign val="super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 xml:space="preserve"> g = IR x ROIC = (Net Investment/NOPLAT) x (NOPLAT / IC) = Net Investment / IC</t>
    </r>
  </si>
  <si>
    <t xml:space="preserve">   and includes the market capitalization of the firm's stock plus all liabilities, less cash and securities.</t>
  </si>
  <si>
    <r>
      <t>g</t>
    </r>
    <r>
      <rPr>
        <b/>
        <vertAlign val="subscript"/>
        <sz val="11"/>
        <color theme="1"/>
        <rFont val="Calibri"/>
        <family val="2"/>
        <scheme val="minor"/>
      </rPr>
      <t>EXPLICIT</t>
    </r>
    <r>
      <rPr>
        <b/>
        <vertAlign val="superscript"/>
        <sz val="11"/>
        <color theme="1"/>
        <rFont val="Calibri"/>
        <family val="2"/>
        <scheme val="minor"/>
      </rPr>
      <t>14</t>
    </r>
  </si>
  <si>
    <r>
      <rPr>
        <vertAlign val="super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 g</t>
    </r>
    <r>
      <rPr>
        <vertAlign val="subscript"/>
        <sz val="11"/>
        <color theme="1"/>
        <rFont val="Calibri"/>
        <family val="2"/>
        <scheme val="minor"/>
      </rPr>
      <t>EXPLICIT</t>
    </r>
    <r>
      <rPr>
        <sz val="11"/>
        <color theme="1"/>
        <rFont val="Calibri"/>
        <family val="2"/>
        <scheme val="minor"/>
      </rPr>
      <t xml:space="preserve"> is taken as the average annual change in EBIT for those years included in the analysis</t>
    </r>
  </si>
  <si>
    <t>Base  Year</t>
  </si>
  <si>
    <r>
      <t>IC</t>
    </r>
    <r>
      <rPr>
        <b/>
        <vertAlign val="superscript"/>
        <sz val="11"/>
        <color theme="1"/>
        <rFont val="Calibri"/>
        <family val="2"/>
        <scheme val="minor"/>
      </rPr>
      <t>7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</si>
  <si>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Insufficient information is available through FactSet or the Whole Foods Annual Report to determine the</t>
    </r>
  </si>
  <si>
    <r>
      <t>CV</t>
    </r>
    <r>
      <rPr>
        <b/>
        <vertAlign val="subscript"/>
        <sz val="11"/>
        <color theme="1"/>
        <rFont val="Calibri"/>
        <family val="2"/>
        <scheme val="minor"/>
      </rPr>
      <t>FCF</t>
    </r>
  </si>
  <si>
    <r>
      <t>CV</t>
    </r>
    <r>
      <rPr>
        <b/>
        <vertAlign val="subscript"/>
        <sz val="11"/>
        <color theme="1"/>
        <rFont val="Calibri"/>
        <family val="2"/>
        <scheme val="minor"/>
      </rPr>
      <t>FMM</t>
    </r>
  </si>
  <si>
    <r>
      <t>VAL</t>
    </r>
    <r>
      <rPr>
        <b/>
        <vertAlign val="subscript"/>
        <sz val="11"/>
        <color theme="1"/>
        <rFont val="Calibri"/>
        <family val="2"/>
        <scheme val="minor"/>
      </rPr>
      <t>KVD/NOPLAT</t>
    </r>
  </si>
  <si>
    <r>
      <t>VAL</t>
    </r>
    <r>
      <rPr>
        <b/>
        <vertAlign val="subscript"/>
        <sz val="11"/>
        <color theme="1"/>
        <rFont val="Calibri"/>
        <family val="2"/>
        <scheme val="minor"/>
      </rPr>
      <t>NOPLAT/FMM</t>
    </r>
  </si>
  <si>
    <r>
      <t>VAL</t>
    </r>
    <r>
      <rPr>
        <b/>
        <vertAlign val="subscript"/>
        <sz val="11"/>
        <color theme="1"/>
        <rFont val="Calibri"/>
        <family val="2"/>
        <scheme val="minor"/>
      </rPr>
      <t>DCF/FCF</t>
    </r>
  </si>
  <si>
    <r>
      <t>VAL</t>
    </r>
    <r>
      <rPr>
        <b/>
        <vertAlign val="subscript"/>
        <sz val="11"/>
        <color theme="1"/>
        <rFont val="Calibri"/>
        <family val="2"/>
        <scheme val="minor"/>
      </rPr>
      <t>KVD/FCF</t>
    </r>
  </si>
  <si>
    <r>
      <t>PV</t>
    </r>
    <r>
      <rPr>
        <b/>
        <vertAlign val="subscript"/>
        <sz val="11"/>
        <color theme="1"/>
        <rFont val="Calibri"/>
        <family val="2"/>
        <scheme val="minor"/>
      </rPr>
      <t>FCF</t>
    </r>
  </si>
  <si>
    <r>
      <t>VAL</t>
    </r>
    <r>
      <rPr>
        <b/>
        <vertAlign val="subscript"/>
        <sz val="11"/>
        <color theme="1"/>
        <rFont val="Calibri"/>
        <family val="2"/>
        <scheme val="minor"/>
      </rPr>
      <t>FCF/FMM</t>
    </r>
  </si>
  <si>
    <r>
      <rPr>
        <vertAlign val="super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 xml:space="preserve"> KVD Multiple based on the McKensey &amp; Company KVD Model in which EV/EBIT = ((1-T)(1-g/ROIC))/(WACC - g)</t>
    </r>
  </si>
  <si>
    <r>
      <rPr>
        <vertAlign val="super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 xml:space="preserve"> g = % ∆ GDP expected at 2.5%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</si>
</sst>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-#,##0.00"/>
    <numFmt numFmtId="165" formatCode="#,##0.0;[Red]\-#,##0.0"/>
    <numFmt numFmtId="166" formatCode="0.000%"/>
    <numFmt numFmtId="167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996633"/>
      <name val="Arial"/>
      <family val="2"/>
    </font>
    <font>
      <sz val="7.5"/>
      <color rgb="FF996633"/>
      <name val="Arial"/>
      <family val="2"/>
    </font>
    <font>
      <sz val="7.5"/>
      <color rgb="FF64646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17365C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Trebuchet MS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100">
    <xf numFmtId="0" fontId="0" fillId="0" borderId="0" xfId="0"/>
    <xf numFmtId="2" fontId="3" fillId="0" borderId="0" xfId="0" applyNumberFormat="1" applyFont="1" applyFill="1" applyBorder="1" applyAlignment="1" applyProtection="1"/>
    <xf numFmtId="2" fontId="4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>
      <alignment horizontal="right"/>
    </xf>
    <xf numFmtId="2" fontId="5" fillId="0" borderId="0" xfId="0" applyNumberFormat="1" applyFont="1" applyFill="1" applyBorder="1" applyAlignment="1" applyProtection="1"/>
    <xf numFmtId="2" fontId="6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>
      <alignment horizontal="right"/>
    </xf>
    <xf numFmtId="2" fontId="7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65" fontId="5" fillId="0" borderId="0" xfId="0" applyNumberFormat="1" applyFont="1" applyFill="1" applyBorder="1" applyAlignment="1" applyProtection="1">
      <alignment horizontal="right"/>
    </xf>
    <xf numFmtId="2" fontId="9" fillId="0" borderId="0" xfId="0" applyNumberFormat="1" applyFont="1" applyFill="1" applyBorder="1" applyAlignment="1" applyProtection="1"/>
    <xf numFmtId="2" fontId="10" fillId="0" borderId="0" xfId="0" applyNumberFormat="1" applyFont="1" applyFill="1" applyBorder="1" applyAlignment="1" applyProtection="1"/>
    <xf numFmtId="2" fontId="11" fillId="0" borderId="0" xfId="0" applyNumberFormat="1" applyFont="1" applyFill="1" applyBorder="1" applyAlignment="1" applyProtection="1">
      <alignment horizontal="right"/>
    </xf>
    <xf numFmtId="2" fontId="10" fillId="0" borderId="0" xfId="0" applyNumberFormat="1" applyFont="1" applyFill="1" applyBorder="1" applyAlignment="1" applyProtection="1">
      <alignment horizontal="right"/>
    </xf>
    <xf numFmtId="164" fontId="10" fillId="0" borderId="0" xfId="0" applyNumberFormat="1" applyFont="1" applyFill="1" applyBorder="1" applyAlignment="1" applyProtection="1"/>
    <xf numFmtId="2" fontId="11" fillId="0" borderId="1" xfId="0" applyNumberFormat="1" applyFont="1" applyFill="1" applyBorder="1" applyAlignment="1" applyProtection="1"/>
    <xf numFmtId="164" fontId="11" fillId="0" borderId="1" xfId="0" applyNumberFormat="1" applyFont="1" applyFill="1" applyBorder="1" applyAlignment="1" applyProtection="1"/>
    <xf numFmtId="2" fontId="11" fillId="0" borderId="0" xfId="0" applyNumberFormat="1" applyFont="1" applyFill="1" applyBorder="1" applyAlignment="1" applyProtection="1"/>
    <xf numFmtId="164" fontId="11" fillId="0" borderId="0" xfId="0" applyNumberFormat="1" applyFont="1" applyFill="1" applyBorder="1" applyAlignment="1" applyProtection="1"/>
    <xf numFmtId="2" fontId="13" fillId="0" borderId="0" xfId="0" applyNumberFormat="1" applyFont="1" applyFill="1" applyBorder="1" applyAlignment="1" applyProtection="1">
      <alignment horizontal="center"/>
    </xf>
    <xf numFmtId="2" fontId="15" fillId="0" borderId="0" xfId="0" applyNumberFormat="1" applyFont="1" applyFill="1" applyBorder="1" applyAlignment="1" applyProtection="1">
      <alignment horizontal="right"/>
    </xf>
    <xf numFmtId="0" fontId="1" fillId="0" borderId="0" xfId="0" applyFont="1"/>
    <xf numFmtId="0" fontId="16" fillId="0" borderId="0" xfId="0" applyFont="1"/>
    <xf numFmtId="164" fontId="10" fillId="0" borderId="2" xfId="0" applyNumberFormat="1" applyFont="1" applyFill="1" applyBorder="1" applyAlignment="1" applyProtection="1"/>
    <xf numFmtId="164" fontId="11" fillId="0" borderId="3" xfId="0" applyNumberFormat="1" applyFont="1" applyFill="1" applyBorder="1" applyAlignment="1" applyProtection="1"/>
    <xf numFmtId="0" fontId="0" fillId="0" borderId="0" xfId="0" applyBorder="1"/>
    <xf numFmtId="0" fontId="1" fillId="0" borderId="0" xfId="0" applyFont="1" applyAlignment="1">
      <alignment horizontal="right"/>
    </xf>
    <xf numFmtId="43" fontId="0" fillId="0" borderId="0" xfId="0" applyNumberFormat="1" applyAlignment="1">
      <alignment horizontal="right"/>
    </xf>
    <xf numFmtId="43" fontId="0" fillId="0" borderId="0" xfId="2" applyFont="1"/>
    <xf numFmtId="166" fontId="0" fillId="0" borderId="0" xfId="3" applyNumberFormat="1" applyFont="1"/>
    <xf numFmtId="43" fontId="0" fillId="0" borderId="0" xfId="2" applyFont="1" applyAlignment="1">
      <alignment horizontal="right"/>
    </xf>
    <xf numFmtId="0" fontId="1" fillId="0" borderId="0" xfId="0" applyFont="1" applyAlignment="1">
      <alignment horizontal="right" wrapText="1"/>
    </xf>
    <xf numFmtId="167" fontId="0" fillId="0" borderId="0" xfId="2" applyNumberFormat="1" applyFont="1"/>
    <xf numFmtId="164" fontId="0" fillId="0" borderId="0" xfId="0" applyNumberFormat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10" fontId="0" fillId="0" borderId="0" xfId="3" applyNumberFormat="1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43" fontId="0" fillId="0" borderId="0" xfId="2" applyFont="1" applyProtection="1">
      <protection locked="0"/>
    </xf>
    <xf numFmtId="9" fontId="0" fillId="0" borderId="0" xfId="3" applyFont="1" applyProtection="1"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22" fillId="0" borderId="0" xfId="0" applyFont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43" fontId="19" fillId="0" borderId="0" xfId="2" applyFont="1" applyProtection="1">
      <protection locked="0"/>
    </xf>
    <xf numFmtId="43" fontId="19" fillId="0" borderId="0" xfId="2" applyFont="1" applyFill="1" applyBorder="1" applyAlignment="1" applyProtection="1">
      <alignment horizontal="right"/>
      <protection locked="0"/>
    </xf>
    <xf numFmtId="10" fontId="19" fillId="0" borderId="0" xfId="3" applyNumberFormat="1" applyFont="1" applyProtection="1">
      <protection locked="0"/>
    </xf>
    <xf numFmtId="2" fontId="0" fillId="0" borderId="0" xfId="0" applyNumberFormat="1" applyFont="1" applyAlignment="1" applyProtection="1">
      <alignment horizontal="right" wrapText="1"/>
      <protection locked="0"/>
    </xf>
    <xf numFmtId="0" fontId="19" fillId="0" borderId="0" xfId="0" applyFont="1" applyProtection="1">
      <protection locked="0"/>
    </xf>
    <xf numFmtId="2" fontId="0" fillId="0" borderId="0" xfId="0" applyNumberFormat="1" applyProtection="1">
      <protection locked="0"/>
    </xf>
    <xf numFmtId="0" fontId="20" fillId="0" borderId="0" xfId="0" applyFont="1" applyAlignment="1" applyProtection="1">
      <alignment horizontal="right"/>
      <protection locked="0"/>
    </xf>
    <xf numFmtId="43" fontId="0" fillId="0" borderId="0" xfId="0" applyNumberFormat="1" applyProtection="1">
      <protection locked="0"/>
    </xf>
    <xf numFmtId="43" fontId="0" fillId="0" borderId="0" xfId="2" applyFont="1" applyProtection="1"/>
    <xf numFmtId="2" fontId="11" fillId="0" borderId="0" xfId="0" applyNumberFormat="1" applyFont="1" applyFill="1" applyBorder="1" applyAlignment="1" applyProtection="1"/>
    <xf numFmtId="2" fontId="10" fillId="0" borderId="0" xfId="0" applyNumberFormat="1" applyFont="1" applyFill="1" applyBorder="1" applyAlignment="1" applyProtection="1"/>
    <xf numFmtId="43" fontId="0" fillId="0" borderId="0" xfId="2" applyFont="1" applyAlignment="1" applyProtection="1">
      <alignment horizontal="right" wrapText="1"/>
      <protection locked="0"/>
    </xf>
    <xf numFmtId="0" fontId="0" fillId="0" borderId="0" xfId="0" applyAlignment="1" applyProtection="1">
      <alignment horizontal="right"/>
      <protection locked="0"/>
    </xf>
    <xf numFmtId="10" fontId="0" fillId="0" borderId="0" xfId="3" applyNumberFormat="1" applyFont="1"/>
    <xf numFmtId="0" fontId="1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43" fontId="0" fillId="0" borderId="0" xfId="4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43" fontId="0" fillId="0" borderId="0" xfId="4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43" fontId="0" fillId="0" borderId="0" xfId="2" applyFont="1" applyAlignment="1" applyProtection="1">
      <alignment vertical="center"/>
    </xf>
    <xf numFmtId="0" fontId="0" fillId="0" borderId="0" xfId="0" applyAlignment="1">
      <alignment vertical="center"/>
    </xf>
    <xf numFmtId="43" fontId="9" fillId="0" borderId="0" xfId="2" applyFont="1" applyFill="1" applyBorder="1" applyAlignment="1" applyProtection="1"/>
    <xf numFmtId="43" fontId="10" fillId="0" borderId="0" xfId="2" applyFont="1" applyFill="1" applyBorder="1" applyAlignment="1" applyProtection="1"/>
    <xf numFmtId="0" fontId="27" fillId="0" borderId="0" xfId="0" applyFont="1"/>
    <xf numFmtId="0" fontId="27" fillId="0" borderId="2" xfId="0" applyFont="1" applyBorder="1"/>
    <xf numFmtId="43" fontId="27" fillId="0" borderId="0" xfId="2" quotePrefix="1" applyFont="1"/>
    <xf numFmtId="40" fontId="27" fillId="0" borderId="2" xfId="0" applyNumberFormat="1" applyFont="1" applyBorder="1"/>
    <xf numFmtId="43" fontId="19" fillId="0" borderId="0" xfId="2" applyFont="1" applyAlignment="1" applyProtection="1">
      <alignment horizontal="right" wrapText="1"/>
      <protection locked="0"/>
    </xf>
    <xf numFmtId="43" fontId="3" fillId="0" borderId="0" xfId="2" applyFont="1" applyFill="1" applyBorder="1" applyAlignment="1" applyProtection="1">
      <alignment horizontal="right"/>
      <protection locked="0"/>
    </xf>
    <xf numFmtId="43" fontId="3" fillId="0" borderId="0" xfId="2" applyFont="1" applyProtection="1">
      <protection locked="0"/>
    </xf>
    <xf numFmtId="0" fontId="24" fillId="0" borderId="0" xfId="0" applyFont="1" applyProtection="1">
      <protection locked="0"/>
    </xf>
    <xf numFmtId="0" fontId="0" fillId="0" borderId="0" xfId="0" applyFont="1" applyFill="1" applyBorder="1" applyAlignment="1">
      <alignment vertical="center" wrapText="1"/>
    </xf>
    <xf numFmtId="43" fontId="3" fillId="0" borderId="0" xfId="2" applyNumberFormat="1" applyFont="1" applyProtection="1">
      <protection locked="0"/>
    </xf>
    <xf numFmtId="0" fontId="26" fillId="0" borderId="0" xfId="0" applyFont="1" applyFill="1"/>
    <xf numFmtId="0" fontId="0" fillId="0" borderId="0" xfId="0" applyFill="1"/>
    <xf numFmtId="43" fontId="0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 vertical="center"/>
      <protection locked="0"/>
    </xf>
    <xf numFmtId="2" fontId="8" fillId="0" borderId="0" xfId="0" applyNumberFormat="1" applyFont="1" applyFill="1" applyBorder="1" applyAlignment="1" applyProtection="1">
      <alignment horizontal="center"/>
    </xf>
    <xf numFmtId="2" fontId="12" fillId="0" borderId="0" xfId="0" applyNumberFormat="1" applyFont="1" applyFill="1" applyBorder="1" applyAlignment="1" applyProtection="1">
      <alignment horizontal="center"/>
    </xf>
    <xf numFmtId="2" fontId="12" fillId="0" borderId="0" xfId="0" applyNumberFormat="1" applyFont="1" applyFill="1" applyBorder="1" applyAlignment="1" applyProtection="1">
      <alignment horizontal="center" vertical="center"/>
    </xf>
    <xf numFmtId="2" fontId="15" fillId="0" borderId="0" xfId="0" applyNumberFormat="1" applyFont="1" applyFill="1" applyBorder="1" applyAlignment="1" applyProtection="1">
      <alignment horizontal="center"/>
    </xf>
    <xf numFmtId="2" fontId="11" fillId="0" borderId="0" xfId="0" applyNumberFormat="1" applyFont="1" applyFill="1" applyBorder="1" applyAlignment="1" applyProtection="1">
      <alignment horizontal="center"/>
    </xf>
    <xf numFmtId="2" fontId="11" fillId="0" borderId="0" xfId="0" applyNumberFormat="1" applyFont="1" applyFill="1" applyBorder="1" applyAlignment="1" applyProtection="1"/>
    <xf numFmtId="2" fontId="10" fillId="0" borderId="0" xfId="0" applyNumberFormat="1" applyFont="1" applyFill="1" applyBorder="1" applyAlignment="1" applyProtection="1"/>
    <xf numFmtId="2" fontId="14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 textRotation="90" wrapText="1"/>
      <protection locked="0"/>
    </xf>
    <xf numFmtId="0" fontId="25" fillId="0" borderId="0" xfId="0" applyFont="1" applyAlignment="1">
      <alignment horizontal="center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1" fillId="0" borderId="0" xfId="0" applyFont="1" applyAlignment="1" applyProtection="1">
      <protection locked="0"/>
    </xf>
  </cellXfs>
  <cellStyles count="5">
    <cellStyle name="Comma" xfId="2" builtinId="3"/>
    <cellStyle name="Currency" xfId="4" builtinId="4"/>
    <cellStyle name="Hyperlink" xfId="1" builtinId="8" customBuiltin="1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tabSelected="1" topLeftCell="A52" workbookViewId="0">
      <selection activeCell="P58" sqref="P58:R58"/>
    </sheetView>
  </sheetViews>
  <sheetFormatPr defaultRowHeight="15" x14ac:dyDescent="0.25"/>
  <cols>
    <col min="1" max="2" width="5.7109375" customWidth="1"/>
    <col min="3" max="3" width="25.7109375" customWidth="1"/>
  </cols>
  <sheetData>
    <row r="1" spans="1:13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x14ac:dyDescent="0.2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x14ac:dyDescent="0.25">
      <c r="A3" s="86" t="s">
        <v>71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x14ac:dyDescent="0.25">
      <c r="A4" s="85" t="s">
        <v>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x14ac:dyDescent="0.25">
      <c r="A5" s="85" t="s">
        <v>73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x14ac:dyDescent="0.25">
      <c r="A6" s="85" t="s">
        <v>74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6.5" x14ac:dyDescent="0.35">
      <c r="A8" s="12"/>
      <c r="B8" s="12"/>
      <c r="C8" s="12"/>
      <c r="D8" s="12" t="s">
        <v>191</v>
      </c>
      <c r="E8" s="12" t="s">
        <v>10</v>
      </c>
      <c r="F8" s="12" t="s">
        <v>75</v>
      </c>
      <c r="G8" s="12" t="s">
        <v>76</v>
      </c>
      <c r="H8" s="12" t="s">
        <v>77</v>
      </c>
      <c r="I8" s="12" t="s">
        <v>78</v>
      </c>
      <c r="J8" s="12" t="s">
        <v>79</v>
      </c>
      <c r="K8" s="12" t="s">
        <v>80</v>
      </c>
      <c r="L8" s="12" t="s">
        <v>81</v>
      </c>
      <c r="M8" s="12" t="s">
        <v>82</v>
      </c>
    </row>
    <row r="9" spans="1:13" ht="16.5" x14ac:dyDescent="0.35">
      <c r="A9" s="13"/>
      <c r="B9" s="13"/>
      <c r="C9" s="13"/>
      <c r="D9" s="13" t="s">
        <v>83</v>
      </c>
      <c r="E9" s="13" t="s">
        <v>84</v>
      </c>
      <c r="F9" s="13" t="s">
        <v>84</v>
      </c>
      <c r="G9" s="13" t="s">
        <v>84</v>
      </c>
      <c r="H9" s="13" t="s">
        <v>85</v>
      </c>
      <c r="I9" s="13" t="s">
        <v>84</v>
      </c>
      <c r="J9" s="13" t="s">
        <v>84</v>
      </c>
      <c r="K9" s="13" t="s">
        <v>84</v>
      </c>
      <c r="L9" s="13" t="s">
        <v>85</v>
      </c>
      <c r="M9" s="13" t="s">
        <v>84</v>
      </c>
    </row>
    <row r="10" spans="1:13" ht="16.5" x14ac:dyDescent="0.35">
      <c r="A10" s="89" t="s">
        <v>86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</row>
    <row r="11" spans="1:13" ht="16.5" x14ac:dyDescent="0.35">
      <c r="A11" s="11" t="s">
        <v>22</v>
      </c>
      <c r="B11" s="11"/>
      <c r="C11" s="11"/>
      <c r="D11" s="14">
        <v>603.79999999999995</v>
      </c>
      <c r="E11" s="14">
        <v>542.149</v>
      </c>
      <c r="F11" s="14">
        <v>509.68900000000002</v>
      </c>
      <c r="G11" s="14">
        <v>449.04899999999998</v>
      </c>
      <c r="H11" s="14">
        <v>394.28800000000001</v>
      </c>
      <c r="I11" s="14">
        <v>359.44900000000001</v>
      </c>
      <c r="J11" s="14">
        <v>296.755</v>
      </c>
      <c r="K11" s="14">
        <v>257.46199999999999</v>
      </c>
      <c r="L11" s="14">
        <v>227.143</v>
      </c>
      <c r="M11" s="14">
        <v>207.768</v>
      </c>
    </row>
    <row r="12" spans="1:13" ht="16.5" x14ac:dyDescent="0.35">
      <c r="B12" s="11" t="s">
        <v>87</v>
      </c>
      <c r="C12" s="11"/>
      <c r="D12" s="14">
        <v>295.02999999999997</v>
      </c>
      <c r="E12" s="14">
        <v>268.94299999999998</v>
      </c>
      <c r="F12" s="14">
        <v>248.53800000000001</v>
      </c>
      <c r="G12" s="14">
        <v>222.14</v>
      </c>
      <c r="H12" s="14">
        <v>189.762</v>
      </c>
      <c r="I12" s="14">
        <v>174.78700000000001</v>
      </c>
      <c r="J12" s="14">
        <v>153.40100000000001</v>
      </c>
      <c r="K12" s="14">
        <v>136.38900000000001</v>
      </c>
      <c r="L12" s="14">
        <v>123.63200000000001</v>
      </c>
      <c r="M12" s="14">
        <v>118.533</v>
      </c>
    </row>
    <row r="13" spans="1:13" ht="16.5" x14ac:dyDescent="0.35">
      <c r="B13" s="11" t="s">
        <v>88</v>
      </c>
      <c r="C13" s="11"/>
      <c r="D13" s="14">
        <v>24.46</v>
      </c>
      <c r="E13" s="14">
        <v>22.625</v>
      </c>
      <c r="F13" s="14">
        <v>21.029</v>
      </c>
      <c r="G13" s="14">
        <v>18.341999999999999</v>
      </c>
      <c r="H13" s="14">
        <v>15</v>
      </c>
      <c r="I13" s="14">
        <v>13.2</v>
      </c>
      <c r="J13" s="14">
        <v>11.31</v>
      </c>
      <c r="K13" s="14">
        <v>9.9290000000000003</v>
      </c>
      <c r="L13" s="14">
        <v>9.2750000000000004</v>
      </c>
      <c r="M13" s="14">
        <v>8.6370000000000005</v>
      </c>
    </row>
    <row r="14" spans="1:13" ht="16.5" x14ac:dyDescent="0.35">
      <c r="B14" s="11" t="s">
        <v>89</v>
      </c>
      <c r="C14" s="11"/>
      <c r="D14" s="14">
        <v>19.3</v>
      </c>
      <c r="E14" s="14">
        <v>14.8</v>
      </c>
      <c r="F14" s="14">
        <v>14.9</v>
      </c>
      <c r="G14" s="14">
        <v>14.2</v>
      </c>
      <c r="H14" s="14">
        <v>7.5339999999999998</v>
      </c>
      <c r="I14" s="14">
        <v>5.9939999999999998</v>
      </c>
      <c r="J14" s="14">
        <v>3.5459999999999998</v>
      </c>
      <c r="K14" s="14">
        <v>2.3420000000000001</v>
      </c>
      <c r="L14" s="14">
        <v>0.96499999999999997</v>
      </c>
      <c r="M14" s="14">
        <v>0.80700000000000005</v>
      </c>
    </row>
    <row r="15" spans="1:13" ht="16.5" x14ac:dyDescent="0.35">
      <c r="A15" s="15" t="s">
        <v>34</v>
      </c>
      <c r="B15" s="15"/>
      <c r="C15" s="15"/>
      <c r="D15" s="16">
        <f>D11-SUM(D12:D14)</f>
        <v>265.01</v>
      </c>
      <c r="E15" s="16">
        <f t="shared" ref="E15:M15" si="0">E11-SUM(E12:E14)</f>
        <v>235.78100000000001</v>
      </c>
      <c r="F15" s="16">
        <f t="shared" si="0"/>
        <v>225.22200000000004</v>
      </c>
      <c r="G15" s="16">
        <f t="shared" si="0"/>
        <v>194.36700000000002</v>
      </c>
      <c r="H15" s="16">
        <f t="shared" si="0"/>
        <v>181.99200000000002</v>
      </c>
      <c r="I15" s="16">
        <f t="shared" si="0"/>
        <v>165.46800000000002</v>
      </c>
      <c r="J15" s="16">
        <f t="shared" si="0"/>
        <v>128.49799999999999</v>
      </c>
      <c r="K15" s="16">
        <f t="shared" si="0"/>
        <v>108.80199999999996</v>
      </c>
      <c r="L15" s="16">
        <f t="shared" si="0"/>
        <v>93.270999999999987</v>
      </c>
      <c r="M15" s="16">
        <f t="shared" si="0"/>
        <v>79.790999999999997</v>
      </c>
    </row>
    <row r="16" spans="1:13" ht="16.5" x14ac:dyDescent="0.35">
      <c r="B16" s="11" t="s">
        <v>36</v>
      </c>
      <c r="C16" s="11"/>
      <c r="D16" s="14">
        <v>45.23</v>
      </c>
      <c r="E16" s="14">
        <v>40.81</v>
      </c>
      <c r="F16" s="14">
        <v>36.631999999999998</v>
      </c>
      <c r="G16" s="14">
        <v>33.886000000000003</v>
      </c>
      <c r="H16" s="14">
        <v>27.795000000000002</v>
      </c>
      <c r="I16" s="14">
        <v>21.937999999999999</v>
      </c>
      <c r="J16" s="14">
        <v>15.335000000000001</v>
      </c>
      <c r="K16" s="14">
        <v>11.167999999999999</v>
      </c>
      <c r="L16" s="14">
        <v>9.16</v>
      </c>
      <c r="M16" s="14">
        <v>8.6880000000000006</v>
      </c>
    </row>
    <row r="17" spans="1:13" ht="16.5" x14ac:dyDescent="0.35">
      <c r="B17" s="11" t="s">
        <v>90</v>
      </c>
      <c r="C17" s="11"/>
      <c r="D17" s="14">
        <v>182.8</v>
      </c>
      <c r="E17" s="14">
        <v>156.34800000000001</v>
      </c>
      <c r="F17" s="14">
        <v>147.89400000000001</v>
      </c>
      <c r="G17" s="14">
        <v>128.642</v>
      </c>
      <c r="H17" s="14">
        <v>121.84699999999999</v>
      </c>
      <c r="I17" s="14">
        <v>104.502</v>
      </c>
      <c r="J17" s="14">
        <v>87.614999999999995</v>
      </c>
      <c r="K17" s="14">
        <v>64.787000000000006</v>
      </c>
      <c r="L17" s="14">
        <v>52.533000000000001</v>
      </c>
      <c r="M17" s="14">
        <v>48.133000000000003</v>
      </c>
    </row>
    <row r="18" spans="1:13" ht="16.5" x14ac:dyDescent="0.35">
      <c r="A18" s="15" t="s">
        <v>91</v>
      </c>
      <c r="B18" s="15"/>
      <c r="C18" s="15"/>
      <c r="D18" s="16">
        <f>D15-SUM(D16:D17)</f>
        <v>36.97999999999999</v>
      </c>
      <c r="E18" s="16">
        <f t="shared" ref="E18:M18" si="1">E15-SUM(E16:E17)</f>
        <v>38.62299999999999</v>
      </c>
      <c r="F18" s="16">
        <f t="shared" si="1"/>
        <v>40.696000000000026</v>
      </c>
      <c r="G18" s="16">
        <f t="shared" si="1"/>
        <v>31.839000000000027</v>
      </c>
      <c r="H18" s="16">
        <f t="shared" si="1"/>
        <v>32.350000000000023</v>
      </c>
      <c r="I18" s="16">
        <f t="shared" si="1"/>
        <v>39.02800000000002</v>
      </c>
      <c r="J18" s="16">
        <f t="shared" si="1"/>
        <v>25.548000000000002</v>
      </c>
      <c r="K18" s="16">
        <f t="shared" si="1"/>
        <v>32.846999999999952</v>
      </c>
      <c r="L18" s="16">
        <f t="shared" si="1"/>
        <v>31.577999999999989</v>
      </c>
      <c r="M18" s="16">
        <f t="shared" si="1"/>
        <v>22.969999999999992</v>
      </c>
    </row>
    <row r="19" spans="1:13" ht="16.5" x14ac:dyDescent="0.35">
      <c r="B19" s="11" t="s">
        <v>92</v>
      </c>
      <c r="C19" s="11"/>
      <c r="D19" s="14">
        <v>-5.0000000000000001E-3</v>
      </c>
      <c r="E19" s="14">
        <v>-0.11399999999999999</v>
      </c>
      <c r="F19" s="14">
        <v>0.23499999999999999</v>
      </c>
      <c r="G19" s="14">
        <v>3.9000000000000007E-2</v>
      </c>
      <c r="H19" s="14">
        <v>-1.419</v>
      </c>
      <c r="I19" s="14">
        <v>0.253</v>
      </c>
      <c r="J19" s="14">
        <v>5.4000000000000006E-2</v>
      </c>
      <c r="K19" s="14">
        <v>0.42899999999999999</v>
      </c>
      <c r="L19" s="14">
        <v>0.878</v>
      </c>
      <c r="M19" s="14">
        <v>0.432</v>
      </c>
    </row>
    <row r="20" spans="1:13" ht="16.5" x14ac:dyDescent="0.35">
      <c r="B20" s="11" t="s">
        <v>93</v>
      </c>
      <c r="C20" s="11"/>
      <c r="D20" s="14">
        <v>9.52</v>
      </c>
      <c r="E20" s="14">
        <v>6.2290000000000001</v>
      </c>
      <c r="F20" s="14">
        <v>8.8290000000000006</v>
      </c>
      <c r="G20" s="14">
        <v>8.0440000000000005</v>
      </c>
      <c r="H20" s="14">
        <v>1.06</v>
      </c>
      <c r="I20" s="14">
        <v>1.161</v>
      </c>
      <c r="J20" s="14">
        <v>0.59599999999999997</v>
      </c>
      <c r="K20" s="14">
        <v>2.8000000000000001E-2</v>
      </c>
      <c r="L20" s="14">
        <v>1.7000000000000001E-2</v>
      </c>
      <c r="M20" s="14">
        <v>3.0000000000000001E-3</v>
      </c>
    </row>
    <row r="21" spans="1:13" ht="16.5" x14ac:dyDescent="0.35">
      <c r="B21" s="11" t="s">
        <v>94</v>
      </c>
      <c r="C21" s="11"/>
      <c r="D21" s="10" t="s">
        <v>18</v>
      </c>
      <c r="E21" s="10" t="s">
        <v>18</v>
      </c>
      <c r="F21" s="10" t="s">
        <v>18</v>
      </c>
      <c r="G21" s="10" t="s">
        <v>18</v>
      </c>
      <c r="H21" s="14">
        <v>0.45600000000000002</v>
      </c>
      <c r="I21" s="14">
        <v>0.29899999999999999</v>
      </c>
      <c r="J21" s="10" t="s">
        <v>18</v>
      </c>
      <c r="K21" s="10" t="s">
        <v>18</v>
      </c>
      <c r="L21" s="14">
        <v>0</v>
      </c>
      <c r="M21" s="14">
        <v>0</v>
      </c>
    </row>
    <row r="22" spans="1:13" ht="16.5" x14ac:dyDescent="0.35">
      <c r="B22" s="11" t="s">
        <v>95</v>
      </c>
      <c r="C22" s="11"/>
      <c r="D22" s="14">
        <v>2.0499999999999998</v>
      </c>
      <c r="E22" s="14">
        <v>1.08</v>
      </c>
      <c r="F22" s="14">
        <v>0.53</v>
      </c>
      <c r="G22" s="14">
        <v>3.9950000000000001</v>
      </c>
      <c r="H22" s="14">
        <v>2.7090000000000001</v>
      </c>
      <c r="I22" s="14">
        <v>5.5439999999999996</v>
      </c>
      <c r="J22" s="14">
        <v>8.218</v>
      </c>
      <c r="K22" s="14">
        <v>0.154</v>
      </c>
      <c r="L22" s="14">
        <v>0.59399999999999997</v>
      </c>
      <c r="M22" s="14">
        <v>0</v>
      </c>
    </row>
    <row r="23" spans="1:13" ht="16.5" x14ac:dyDescent="0.35">
      <c r="A23" s="15" t="s">
        <v>43</v>
      </c>
      <c r="B23" s="15"/>
      <c r="C23" s="15"/>
      <c r="D23" s="16">
        <f>D18-SUM(D19:D22)</f>
        <v>25.414999999999992</v>
      </c>
      <c r="E23" s="16">
        <f t="shared" ref="E23:M23" si="2">E18-SUM(E19:E22)</f>
        <v>31.42799999999999</v>
      </c>
      <c r="F23" s="16">
        <f t="shared" si="2"/>
        <v>31.102000000000025</v>
      </c>
      <c r="G23" s="16">
        <f t="shared" si="2"/>
        <v>19.761000000000028</v>
      </c>
      <c r="H23" s="16">
        <f t="shared" si="2"/>
        <v>29.544000000000022</v>
      </c>
      <c r="I23" s="16">
        <f t="shared" si="2"/>
        <v>31.771000000000022</v>
      </c>
      <c r="J23" s="16">
        <f t="shared" si="2"/>
        <v>16.68</v>
      </c>
      <c r="K23" s="16">
        <f t="shared" si="2"/>
        <v>32.235999999999954</v>
      </c>
      <c r="L23" s="16">
        <f t="shared" si="2"/>
        <v>30.088999999999988</v>
      </c>
      <c r="M23" s="16">
        <f t="shared" si="2"/>
        <v>22.534999999999993</v>
      </c>
    </row>
    <row r="24" spans="1:13" ht="16.5" x14ac:dyDescent="0.35">
      <c r="B24" s="11" t="s">
        <v>96</v>
      </c>
      <c r="C24" s="11"/>
      <c r="D24" s="14">
        <v>5.27</v>
      </c>
      <c r="E24" s="14">
        <v>7.3979999999999997</v>
      </c>
      <c r="F24" s="14">
        <v>8.5980000000000008</v>
      </c>
      <c r="G24" s="14">
        <v>3.2690000000000001</v>
      </c>
      <c r="H24" s="14">
        <v>7.9080000000000004</v>
      </c>
      <c r="I24" s="14">
        <v>9.8309999999999995</v>
      </c>
      <c r="J24" s="14">
        <v>4.3280000000000003</v>
      </c>
      <c r="K24" s="14">
        <v>10.564</v>
      </c>
      <c r="L24" s="14">
        <v>11.118</v>
      </c>
      <c r="M24" s="14">
        <v>7.8109999999999999</v>
      </c>
    </row>
    <row r="25" spans="1:13" ht="16.5" x14ac:dyDescent="0.35">
      <c r="A25" s="15" t="s">
        <v>46</v>
      </c>
      <c r="B25" s="15"/>
      <c r="C25" s="15"/>
      <c r="D25" s="16">
        <f>D23-D24</f>
        <v>20.144999999999992</v>
      </c>
      <c r="E25" s="16">
        <f t="shared" ref="E25:M25" si="3">E23-E24</f>
        <v>24.02999999999999</v>
      </c>
      <c r="F25" s="16">
        <f t="shared" si="3"/>
        <v>22.504000000000026</v>
      </c>
      <c r="G25" s="16">
        <f t="shared" si="3"/>
        <v>16.492000000000026</v>
      </c>
      <c r="H25" s="16">
        <f t="shared" si="3"/>
        <v>21.636000000000021</v>
      </c>
      <c r="I25" s="16">
        <f t="shared" si="3"/>
        <v>21.940000000000023</v>
      </c>
      <c r="J25" s="16">
        <f t="shared" si="3"/>
        <v>12.352</v>
      </c>
      <c r="K25" s="16">
        <f t="shared" si="3"/>
        <v>21.671999999999954</v>
      </c>
      <c r="L25" s="16">
        <f t="shared" si="3"/>
        <v>18.970999999999989</v>
      </c>
      <c r="M25" s="16">
        <f t="shared" si="3"/>
        <v>14.723999999999993</v>
      </c>
    </row>
    <row r="26" spans="1:13" ht="16.5" x14ac:dyDescent="0.35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</row>
    <row r="27" spans="1:13" ht="16.5" x14ac:dyDescent="0.35">
      <c r="A27" s="11" t="s">
        <v>97</v>
      </c>
      <c r="B27" s="11"/>
      <c r="C27" s="11"/>
      <c r="D27" s="14">
        <v>0.48</v>
      </c>
      <c r="E27" s="14">
        <v>0.551728786142751</v>
      </c>
      <c r="F27" s="14">
        <v>0.53779170218157502</v>
      </c>
      <c r="G27" s="14">
        <v>0.45160199608245499</v>
      </c>
      <c r="H27" s="14">
        <v>0.50707111006805905</v>
      </c>
      <c r="I27" s="14">
        <v>0.67764326881936898</v>
      </c>
      <c r="J27" s="14">
        <v>0.50623954112509195</v>
      </c>
      <c r="K27" s="14">
        <v>0.63309236837600003</v>
      </c>
      <c r="L27" s="14">
        <v>0.59244274152812104</v>
      </c>
      <c r="M27" s="14">
        <v>0.44214637268214302</v>
      </c>
    </row>
    <row r="28" spans="1:13" ht="16.5" x14ac:dyDescent="0.35">
      <c r="A28" s="11" t="s">
        <v>98</v>
      </c>
      <c r="B28" s="11"/>
      <c r="C28" s="11"/>
      <c r="D28" s="14">
        <v>0.45</v>
      </c>
      <c r="E28" s="14">
        <v>0.53</v>
      </c>
      <c r="F28" s="14">
        <v>0.53</v>
      </c>
      <c r="G28" s="14">
        <v>0.39</v>
      </c>
      <c r="H28" s="14">
        <v>0.46</v>
      </c>
      <c r="I28" s="14">
        <v>0.57999999999999996</v>
      </c>
      <c r="J28" s="14">
        <v>0.34399999999999997</v>
      </c>
      <c r="K28" s="14">
        <v>0.63200000000000001</v>
      </c>
      <c r="L28" s="14">
        <v>0.58399999999999996</v>
      </c>
      <c r="M28" s="14">
        <v>0.44</v>
      </c>
    </row>
    <row r="29" spans="1:13" ht="16.5" x14ac:dyDescent="0.35">
      <c r="A29" s="11" t="s">
        <v>99</v>
      </c>
      <c r="B29" s="11"/>
      <c r="C29" s="11"/>
      <c r="D29" s="14">
        <v>44.86</v>
      </c>
      <c r="E29" s="14">
        <v>44.511000000000003</v>
      </c>
      <c r="F29" s="14">
        <v>43.408999999999999</v>
      </c>
      <c r="G29" s="14">
        <v>42.884</v>
      </c>
      <c r="H29" s="14">
        <v>42.61</v>
      </c>
      <c r="I29" s="14">
        <v>39.732999999999997</v>
      </c>
      <c r="J29" s="14">
        <v>35.976249424380001</v>
      </c>
      <c r="K29" s="14">
        <v>35.757499427879999</v>
      </c>
      <c r="L29" s="14">
        <v>35.687499428999999</v>
      </c>
      <c r="M29" s="14">
        <v>35.255293185920003</v>
      </c>
    </row>
    <row r="30" spans="1:13" ht="16.5" x14ac:dyDescent="0.35">
      <c r="A30" s="11" t="s">
        <v>100</v>
      </c>
      <c r="B30" s="11"/>
      <c r="C30" s="11"/>
      <c r="D30" s="14">
        <v>44.65</v>
      </c>
      <c r="E30" s="14">
        <v>44.267000000000003</v>
      </c>
      <c r="F30" s="14">
        <v>43.613999999999997</v>
      </c>
      <c r="G30" s="14">
        <v>42.845999999999997</v>
      </c>
      <c r="H30" s="14">
        <v>42.488999999999997</v>
      </c>
      <c r="I30" s="14">
        <v>42.008000000000003</v>
      </c>
      <c r="J30" s="14">
        <v>35.496249432059997</v>
      </c>
      <c r="K30" s="14">
        <v>35.226249436380002</v>
      </c>
      <c r="L30" s="14">
        <v>35.116249438140002</v>
      </c>
      <c r="M30" s="14">
        <v>34.266249451740002</v>
      </c>
    </row>
    <row r="31" spans="1:13" ht="16.5" x14ac:dyDescent="0.35">
      <c r="A31" s="11" t="s">
        <v>101</v>
      </c>
      <c r="B31" s="11"/>
      <c r="C31" s="11"/>
      <c r="D31" s="10" t="s">
        <v>18</v>
      </c>
      <c r="E31" s="14">
        <v>92.046000000000006</v>
      </c>
      <c r="F31" s="14">
        <v>95.369</v>
      </c>
      <c r="G31" s="14">
        <v>88.084999999999994</v>
      </c>
      <c r="H31" s="14">
        <v>65.936000000000007</v>
      </c>
      <c r="I31" s="14">
        <v>78.572000000000003</v>
      </c>
      <c r="J31" s="14">
        <v>70.66</v>
      </c>
      <c r="K31" s="14">
        <v>72.227999999999994</v>
      </c>
      <c r="L31" s="14">
        <v>85.406999999999996</v>
      </c>
      <c r="M31" s="14">
        <v>90.394999999999996</v>
      </c>
    </row>
    <row r="32" spans="1:13" ht="16.5" x14ac:dyDescent="0.3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</row>
    <row r="35" spans="1:13" x14ac:dyDescent="0.25">
      <c r="A35" s="91" t="s">
        <v>0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</row>
    <row r="36" spans="1:13" x14ac:dyDescent="0.25">
      <c r="A36" s="87" t="s">
        <v>1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x14ac:dyDescent="0.25">
      <c r="A37" s="91" t="s">
        <v>102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</row>
    <row r="38" spans="1:13" x14ac:dyDescent="0.25">
      <c r="A38" s="87" t="s">
        <v>72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1:13" x14ac:dyDescent="0.25">
      <c r="A39" s="87" t="s">
        <v>73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</row>
    <row r="40" spans="1:13" x14ac:dyDescent="0.25">
      <c r="A40" s="87" t="s">
        <v>74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</row>
    <row r="41" spans="1:13" x14ac:dyDescent="0.25">
      <c r="A41" s="21"/>
      <c r="B41" s="21"/>
      <c r="C41" s="20"/>
      <c r="D41" s="21" t="s">
        <v>191</v>
      </c>
      <c r="E41" s="20" t="s">
        <v>10</v>
      </c>
      <c r="F41" s="20" t="s">
        <v>75</v>
      </c>
      <c r="G41" s="20" t="s">
        <v>76</v>
      </c>
      <c r="H41" s="20" t="s">
        <v>77</v>
      </c>
      <c r="I41" s="20" t="s">
        <v>78</v>
      </c>
      <c r="J41" s="20" t="s">
        <v>79</v>
      </c>
      <c r="K41" s="20" t="s">
        <v>80</v>
      </c>
      <c r="L41" s="20" t="s">
        <v>81</v>
      </c>
      <c r="M41" s="20" t="s">
        <v>82</v>
      </c>
    </row>
    <row r="42" spans="1:13" ht="16.5" x14ac:dyDescent="0.35">
      <c r="A42" s="88" t="s">
        <v>103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1:13" ht="16.5" x14ac:dyDescent="0.35">
      <c r="A43" s="17" t="s">
        <v>104</v>
      </c>
      <c r="B43" s="17"/>
      <c r="D43" s="17"/>
      <c r="E43" s="17"/>
      <c r="F43" s="17"/>
      <c r="G43" s="17"/>
      <c r="H43" s="17"/>
      <c r="I43" s="17"/>
      <c r="J43" s="17"/>
      <c r="K43" s="17"/>
    </row>
    <row r="44" spans="1:13" ht="16.5" x14ac:dyDescent="0.35">
      <c r="B44" s="17" t="s">
        <v>138</v>
      </c>
      <c r="E44" s="17"/>
      <c r="F44" s="17"/>
      <c r="G44" s="17"/>
      <c r="H44" s="17"/>
      <c r="I44" s="17"/>
      <c r="J44" s="17"/>
      <c r="K44" s="17"/>
      <c r="L44" s="17"/>
    </row>
    <row r="45" spans="1:13" ht="16.5" x14ac:dyDescent="0.35">
      <c r="C45" s="11" t="s">
        <v>105</v>
      </c>
      <c r="D45" s="69">
        <v>19.170000000000002</v>
      </c>
      <c r="E45" s="14">
        <v>4.1769999999999996</v>
      </c>
      <c r="F45" s="14">
        <v>7.3550000000000004</v>
      </c>
      <c r="G45" s="14">
        <v>7.4589999999999996</v>
      </c>
      <c r="H45" s="14">
        <v>9.7189999999999994</v>
      </c>
      <c r="I45" s="14">
        <v>10.128</v>
      </c>
      <c r="J45" s="14">
        <v>3.7349999999999999</v>
      </c>
      <c r="K45" s="14">
        <v>6.133</v>
      </c>
      <c r="L45" s="14">
        <v>34.03</v>
      </c>
      <c r="M45" s="14">
        <v>17.574000000000002</v>
      </c>
    </row>
    <row r="46" spans="1:13" ht="16.5" x14ac:dyDescent="0.35">
      <c r="C46" s="11" t="s">
        <v>106</v>
      </c>
      <c r="D46" s="69">
        <v>86.59</v>
      </c>
      <c r="E46" s="14">
        <v>78.212999999999994</v>
      </c>
      <c r="F46" s="14">
        <v>80.552000000000007</v>
      </c>
      <c r="G46" s="14">
        <v>64.087000000000003</v>
      </c>
      <c r="H46" s="14">
        <v>57.319000000000003</v>
      </c>
      <c r="I46" s="14">
        <v>45.250999999999998</v>
      </c>
      <c r="J46" s="14">
        <v>41.232999999999997</v>
      </c>
      <c r="K46" s="14">
        <v>32.220999999999997</v>
      </c>
      <c r="L46" s="14">
        <v>29.3</v>
      </c>
      <c r="M46" s="14">
        <v>28.2</v>
      </c>
    </row>
    <row r="47" spans="1:13" ht="16.5" x14ac:dyDescent="0.35">
      <c r="C47" s="11" t="s">
        <v>107</v>
      </c>
      <c r="D47" s="69">
        <v>120.7</v>
      </c>
      <c r="E47" s="14">
        <v>105.999</v>
      </c>
      <c r="F47" s="14">
        <v>91.772999999999996</v>
      </c>
      <c r="G47" s="14">
        <v>82.378</v>
      </c>
      <c r="H47" s="14">
        <v>84.599000000000004</v>
      </c>
      <c r="I47" s="14">
        <v>69.911000000000001</v>
      </c>
      <c r="J47" s="14">
        <v>60.597000000000001</v>
      </c>
      <c r="K47" s="14">
        <v>47.17</v>
      </c>
      <c r="L47" s="14">
        <v>38.357999999999997</v>
      </c>
      <c r="M47" s="14">
        <v>34.106000000000002</v>
      </c>
    </row>
    <row r="48" spans="1:13" ht="16.5" x14ac:dyDescent="0.35">
      <c r="B48" s="25"/>
      <c r="C48" s="11" t="s">
        <v>108</v>
      </c>
      <c r="D48" s="70">
        <v>16.97</v>
      </c>
      <c r="E48" s="14">
        <v>15.614000000000001</v>
      </c>
      <c r="F48" s="14">
        <v>12.66</v>
      </c>
      <c r="G48" s="14">
        <v>11.991</v>
      </c>
      <c r="H48" s="14">
        <v>10.359</v>
      </c>
      <c r="I48" s="14">
        <v>8.3620000000000001</v>
      </c>
      <c r="J48" s="14">
        <v>6.7359999999999998</v>
      </c>
      <c r="K48" s="14">
        <v>5.09</v>
      </c>
      <c r="L48" s="14">
        <v>3.7669999999999999</v>
      </c>
      <c r="M48" s="14">
        <v>2.1080000000000001</v>
      </c>
    </row>
    <row r="49" spans="1:18" ht="16.5" x14ac:dyDescent="0.35">
      <c r="B49" s="17" t="s">
        <v>109</v>
      </c>
      <c r="D49" s="16">
        <f>SUM(D45:D48)</f>
        <v>243.43</v>
      </c>
      <c r="E49" s="16">
        <f>SUM(E45:E48)</f>
        <v>204.00299999999999</v>
      </c>
      <c r="F49" s="16">
        <f t="shared" ref="F49:M49" si="4">SUM(F45:F48)</f>
        <v>192.34</v>
      </c>
      <c r="G49" s="16">
        <f t="shared" si="4"/>
        <v>165.91500000000002</v>
      </c>
      <c r="H49" s="16">
        <f t="shared" si="4"/>
        <v>161.99600000000001</v>
      </c>
      <c r="I49" s="16">
        <f t="shared" si="4"/>
        <v>133.65199999999999</v>
      </c>
      <c r="J49" s="16">
        <f t="shared" si="4"/>
        <v>112.301</v>
      </c>
      <c r="K49" s="16">
        <f t="shared" si="4"/>
        <v>90.614000000000004</v>
      </c>
      <c r="L49" s="16">
        <f t="shared" si="4"/>
        <v>105.45499999999998</v>
      </c>
      <c r="M49" s="16">
        <f t="shared" si="4"/>
        <v>81.988</v>
      </c>
    </row>
    <row r="50" spans="1:18" ht="16.5" x14ac:dyDescent="0.35">
      <c r="A50" s="17"/>
      <c r="D50" s="69"/>
      <c r="E50" s="18"/>
      <c r="F50" s="18"/>
      <c r="G50" s="18"/>
      <c r="H50" s="18"/>
      <c r="I50" s="18"/>
      <c r="J50" s="18"/>
      <c r="K50" s="18"/>
      <c r="L50" s="18"/>
      <c r="M50" s="18"/>
    </row>
    <row r="51" spans="1:18" ht="16.5" x14ac:dyDescent="0.35">
      <c r="B51" s="22" t="s">
        <v>139</v>
      </c>
      <c r="D51" s="69"/>
      <c r="E51" s="11"/>
      <c r="F51" s="11"/>
      <c r="G51" s="11"/>
      <c r="H51" s="11"/>
      <c r="I51" s="11"/>
      <c r="J51" s="11"/>
      <c r="K51" s="11"/>
      <c r="L51" s="11"/>
      <c r="M51" s="11"/>
    </row>
    <row r="52" spans="1:18" ht="16.5" x14ac:dyDescent="0.35">
      <c r="C52" s="11" t="s">
        <v>110</v>
      </c>
      <c r="D52" s="69">
        <v>139.1</v>
      </c>
      <c r="E52" s="14">
        <v>136.595</v>
      </c>
      <c r="F52" s="14">
        <v>130.447</v>
      </c>
      <c r="G52" s="14">
        <v>127.747</v>
      </c>
      <c r="H52" s="14">
        <v>81.222999999999999</v>
      </c>
      <c r="I52" s="14">
        <v>59.905000000000001</v>
      </c>
      <c r="J52" s="14">
        <v>50.274000000000001</v>
      </c>
      <c r="K52" s="14">
        <v>50.04</v>
      </c>
      <c r="L52" s="14">
        <v>49.792999999999999</v>
      </c>
      <c r="M52" s="14">
        <v>43.146999999999998</v>
      </c>
    </row>
    <row r="53" spans="1:18" ht="16.5" x14ac:dyDescent="0.35">
      <c r="C53" s="11" t="s">
        <v>111</v>
      </c>
      <c r="D53" s="69">
        <v>19.399999999999999</v>
      </c>
      <c r="E53" s="14">
        <v>19.306999999999999</v>
      </c>
      <c r="F53" s="14">
        <v>16.829999999999998</v>
      </c>
      <c r="G53" s="14">
        <v>16.239999999999998</v>
      </c>
      <c r="H53" s="14">
        <v>17.346</v>
      </c>
      <c r="I53" s="14">
        <v>16.288</v>
      </c>
      <c r="J53" s="14">
        <v>12.586</v>
      </c>
      <c r="K53" s="14">
        <v>9.7769999999999992</v>
      </c>
      <c r="L53" s="14">
        <v>7.992</v>
      </c>
      <c r="M53" s="14">
        <v>7.9770000000000003</v>
      </c>
    </row>
    <row r="54" spans="1:18" ht="16.5" x14ac:dyDescent="0.35">
      <c r="C54" s="11" t="s">
        <v>112</v>
      </c>
      <c r="D54" s="69">
        <v>178.1</v>
      </c>
      <c r="E54" s="14">
        <v>158.77500000000001</v>
      </c>
      <c r="F54" s="14">
        <v>145.02199999999999</v>
      </c>
      <c r="G54" s="14">
        <v>136.768</v>
      </c>
      <c r="H54" s="14">
        <v>117.601</v>
      </c>
      <c r="I54" s="14">
        <v>103.629</v>
      </c>
      <c r="J54" s="14">
        <v>92.838999999999999</v>
      </c>
      <c r="K54" s="14">
        <v>77.069000000000003</v>
      </c>
      <c r="L54" s="14">
        <v>68.183999999999997</v>
      </c>
      <c r="M54" s="14">
        <v>61.448</v>
      </c>
    </row>
    <row r="55" spans="1:18" ht="16.5" x14ac:dyDescent="0.35">
      <c r="C55" s="11" t="s">
        <v>113</v>
      </c>
      <c r="D55" s="69">
        <v>28.2</v>
      </c>
      <c r="E55" s="14">
        <v>26.292000000000002</v>
      </c>
      <c r="F55" s="14">
        <v>21.858000000000001</v>
      </c>
      <c r="G55" s="14">
        <v>25.172000000000001</v>
      </c>
      <c r="H55" s="14">
        <v>74.643000000000001</v>
      </c>
      <c r="I55" s="14">
        <v>47.533999999999999</v>
      </c>
      <c r="J55" s="14">
        <v>13.775</v>
      </c>
      <c r="K55" s="14">
        <v>13.968</v>
      </c>
      <c r="L55" s="14">
        <v>7.5990000000000002</v>
      </c>
      <c r="M55" s="14">
        <v>10.68</v>
      </c>
    </row>
    <row r="56" spans="1:18" ht="16.5" x14ac:dyDescent="0.35">
      <c r="C56" s="11" t="s">
        <v>114</v>
      </c>
      <c r="D56" s="69">
        <v>73.8</v>
      </c>
      <c r="E56" s="14">
        <v>66.861999999999995</v>
      </c>
      <c r="F56" s="14">
        <v>51.296999999999997</v>
      </c>
      <c r="G56" s="14">
        <v>46.018999999999998</v>
      </c>
      <c r="H56" s="14">
        <v>39.542999999999999</v>
      </c>
      <c r="I56" s="14">
        <v>35.218000000000004</v>
      </c>
      <c r="J56" s="14">
        <v>30.434000000000001</v>
      </c>
      <c r="K56" s="14">
        <v>25.866</v>
      </c>
      <c r="L56" s="14">
        <v>26.556999999999999</v>
      </c>
      <c r="M56" s="14">
        <v>26.98</v>
      </c>
    </row>
    <row r="57" spans="1:18" ht="16.5" x14ac:dyDescent="0.35">
      <c r="C57" s="11" t="s">
        <v>115</v>
      </c>
      <c r="D57" s="14">
        <v>-160.19999999999999</v>
      </c>
      <c r="E57" s="14">
        <v>-140.05000000000001</v>
      </c>
      <c r="F57" s="14">
        <v>-121.28</v>
      </c>
      <c r="G57" s="14">
        <v>-108.68</v>
      </c>
      <c r="H57" s="14">
        <v>-95.55</v>
      </c>
      <c r="I57" s="14">
        <v>-83.43</v>
      </c>
      <c r="J57" s="14">
        <v>-71.849999999999994</v>
      </c>
      <c r="K57" s="14">
        <v>-62.07</v>
      </c>
      <c r="L57" s="14">
        <v>-56.19</v>
      </c>
      <c r="M57" s="14">
        <v>-50.54</v>
      </c>
    </row>
    <row r="58" spans="1:18" ht="16.5" x14ac:dyDescent="0.35">
      <c r="C58" s="11" t="s">
        <v>116</v>
      </c>
      <c r="D58" s="71">
        <v>0</v>
      </c>
      <c r="E58" s="67">
        <v>0</v>
      </c>
      <c r="F58" s="68">
        <v>0</v>
      </c>
      <c r="G58" s="67">
        <v>0</v>
      </c>
      <c r="H58" s="68">
        <v>0</v>
      </c>
      <c r="I58" s="68">
        <v>7.5979999999999999</v>
      </c>
      <c r="J58" s="68">
        <v>4.3</v>
      </c>
      <c r="K58" s="68">
        <v>3.3</v>
      </c>
      <c r="L58" s="68">
        <v>2.3730000000000002</v>
      </c>
      <c r="M58" s="68">
        <v>3.0419999999999998</v>
      </c>
      <c r="P58" s="33"/>
      <c r="Q58" s="33"/>
      <c r="R58" s="33"/>
    </row>
    <row r="59" spans="1:18" ht="16.5" x14ac:dyDescent="0.35">
      <c r="C59" s="11" t="s">
        <v>117</v>
      </c>
      <c r="D59" s="69">
        <v>394.6</v>
      </c>
      <c r="E59" s="14">
        <v>293.82600000000002</v>
      </c>
      <c r="F59" s="14">
        <v>294.77199999999999</v>
      </c>
      <c r="G59" s="14">
        <v>304.49200000000002</v>
      </c>
      <c r="H59" s="14">
        <v>293.23899999999998</v>
      </c>
      <c r="I59" s="14">
        <v>117.813</v>
      </c>
      <c r="J59" s="14">
        <v>115.85899999999999</v>
      </c>
      <c r="K59" s="14">
        <v>59.9</v>
      </c>
      <c r="L59" s="14">
        <v>19.960999999999999</v>
      </c>
      <c r="M59" s="14">
        <v>15.69</v>
      </c>
    </row>
    <row r="60" spans="1:18" ht="16.5" x14ac:dyDescent="0.35">
      <c r="C60" s="11" t="s">
        <v>118</v>
      </c>
      <c r="D60" s="69">
        <v>0.2</v>
      </c>
      <c r="E60" s="14">
        <v>0</v>
      </c>
      <c r="F60" s="14">
        <v>8.9999999999999993E-3</v>
      </c>
      <c r="G60" s="14">
        <v>0.8</v>
      </c>
      <c r="H60" s="14">
        <v>4.2370000000000001</v>
      </c>
      <c r="I60" s="14">
        <v>5.3659999999999997</v>
      </c>
      <c r="J60" s="10" t="s">
        <v>18</v>
      </c>
      <c r="K60" s="10" t="s">
        <v>18</v>
      </c>
      <c r="L60" s="10" t="s">
        <v>18</v>
      </c>
      <c r="M60" s="10" t="s">
        <v>18</v>
      </c>
    </row>
    <row r="61" spans="1:18" ht="16.5" x14ac:dyDescent="0.35">
      <c r="B61" s="25"/>
      <c r="C61" s="11" t="s">
        <v>119</v>
      </c>
      <c r="D61" s="70">
        <v>28</v>
      </c>
      <c r="E61" s="23">
        <v>13.121</v>
      </c>
      <c r="F61" s="23">
        <v>15.872999999999999</v>
      </c>
      <c r="G61" s="23">
        <v>13.805999999999999</v>
      </c>
      <c r="H61" s="23">
        <v>11.034000000000001</v>
      </c>
      <c r="I61" s="23">
        <v>3.4479999999999902</v>
      </c>
      <c r="J61" s="23">
        <v>8.9649999999999999</v>
      </c>
      <c r="K61" s="23">
        <v>6.7670000000000003</v>
      </c>
      <c r="L61" s="23">
        <v>4.8000000000001798E-2</v>
      </c>
      <c r="M61" s="23">
        <v>4.0000000000013402E-3</v>
      </c>
    </row>
    <row r="62" spans="1:18" ht="16.5" x14ac:dyDescent="0.35">
      <c r="B62" s="17" t="s">
        <v>143</v>
      </c>
      <c r="C62" s="11"/>
      <c r="D62" s="14">
        <f>SUM(D52:D61)</f>
        <v>701.2</v>
      </c>
      <c r="E62" s="14">
        <f>SUM(E52:E61)</f>
        <v>574.72799999999995</v>
      </c>
      <c r="F62" s="14">
        <f t="shared" ref="F62:M62" si="5">SUM(F52:F61)</f>
        <v>554.82799999999997</v>
      </c>
      <c r="G62" s="14">
        <f t="shared" si="5"/>
        <v>562.36400000000003</v>
      </c>
      <c r="H62" s="14">
        <f t="shared" si="5"/>
        <v>543.31599999999992</v>
      </c>
      <c r="I62" s="14">
        <f t="shared" si="5"/>
        <v>313.36899999999997</v>
      </c>
      <c r="J62" s="14">
        <f t="shared" si="5"/>
        <v>257.18200000000002</v>
      </c>
      <c r="K62" s="14">
        <f t="shared" si="5"/>
        <v>184.61699999999996</v>
      </c>
      <c r="L62" s="14">
        <f t="shared" si="5"/>
        <v>126.31699999999998</v>
      </c>
      <c r="M62" s="14">
        <f t="shared" si="5"/>
        <v>118.42800000000001</v>
      </c>
    </row>
    <row r="63" spans="1:18" ht="16.5" x14ac:dyDescent="0.35">
      <c r="A63" s="25"/>
      <c r="B63" s="17"/>
      <c r="C63" s="11"/>
      <c r="D63" s="69"/>
      <c r="E63" s="14"/>
      <c r="F63" s="14"/>
      <c r="G63" s="14"/>
      <c r="H63" s="14"/>
      <c r="I63" s="14"/>
      <c r="J63" s="14"/>
      <c r="K63" s="14"/>
      <c r="L63" s="14"/>
      <c r="M63" s="14"/>
    </row>
    <row r="64" spans="1:18" ht="17.25" thickBot="1" x14ac:dyDescent="0.4">
      <c r="A64" s="17" t="s">
        <v>120</v>
      </c>
      <c r="D64" s="24">
        <f>D49+D62</f>
        <v>944.63000000000011</v>
      </c>
      <c r="E64" s="24">
        <f>E49+E62</f>
        <v>778.73099999999999</v>
      </c>
      <c r="F64" s="24">
        <f t="shared" ref="F64:M64" si="6">F49+F62</f>
        <v>747.16800000000001</v>
      </c>
      <c r="G64" s="24">
        <f t="shared" si="6"/>
        <v>728.279</v>
      </c>
      <c r="H64" s="24">
        <f t="shared" si="6"/>
        <v>705.3119999999999</v>
      </c>
      <c r="I64" s="24">
        <f t="shared" si="6"/>
        <v>447.02099999999996</v>
      </c>
      <c r="J64" s="24">
        <f t="shared" si="6"/>
        <v>369.483</v>
      </c>
      <c r="K64" s="24">
        <f t="shared" si="6"/>
        <v>275.23099999999999</v>
      </c>
      <c r="L64" s="24">
        <f t="shared" si="6"/>
        <v>231.77199999999996</v>
      </c>
      <c r="M64" s="24">
        <f t="shared" si="6"/>
        <v>200.416</v>
      </c>
    </row>
    <row r="65" spans="1:13" ht="17.25" thickTop="1" x14ac:dyDescent="0.35">
      <c r="A65" s="11"/>
      <c r="D65" s="69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6.5" x14ac:dyDescent="0.35">
      <c r="A66" s="17" t="s">
        <v>121</v>
      </c>
      <c r="B66" s="25"/>
      <c r="D66" s="69"/>
      <c r="E66" s="17"/>
      <c r="F66" s="17"/>
      <c r="G66" s="17"/>
      <c r="H66" s="17"/>
      <c r="I66" s="17"/>
      <c r="J66" s="17"/>
      <c r="K66" s="17"/>
      <c r="L66" s="17"/>
      <c r="M66" s="17"/>
    </row>
    <row r="67" spans="1:13" ht="16.5" x14ac:dyDescent="0.35">
      <c r="B67" s="17" t="s">
        <v>126</v>
      </c>
      <c r="D67" s="69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16.5" x14ac:dyDescent="0.35">
      <c r="C68" s="11" t="s">
        <v>122</v>
      </c>
      <c r="D68" s="69">
        <v>10</v>
      </c>
      <c r="E68" s="14">
        <v>10</v>
      </c>
      <c r="F68" s="14">
        <v>10</v>
      </c>
      <c r="G68" s="14">
        <v>10</v>
      </c>
      <c r="H68" s="14">
        <v>10</v>
      </c>
      <c r="I68" s="14">
        <v>0</v>
      </c>
      <c r="J68" s="14">
        <v>0</v>
      </c>
      <c r="K68" s="14">
        <v>7</v>
      </c>
      <c r="L68" s="14">
        <v>0</v>
      </c>
      <c r="M68" s="14">
        <v>0</v>
      </c>
    </row>
    <row r="69" spans="1:13" ht="16.5" x14ac:dyDescent="0.35">
      <c r="C69" s="11" t="s">
        <v>123</v>
      </c>
      <c r="D69" s="69">
        <v>30.62</v>
      </c>
      <c r="E69" s="14">
        <v>37.976999999999997</v>
      </c>
      <c r="F69" s="14">
        <v>29.81</v>
      </c>
      <c r="G69" s="14">
        <v>26.510999999999999</v>
      </c>
      <c r="H69" s="14">
        <v>34.637</v>
      </c>
      <c r="I69" s="14">
        <v>22.727</v>
      </c>
      <c r="J69" s="14">
        <v>20.091999999999999</v>
      </c>
      <c r="K69" s="14">
        <v>13.352</v>
      </c>
      <c r="L69" s="14">
        <v>10.622</v>
      </c>
      <c r="M69" s="14">
        <v>10.275</v>
      </c>
    </row>
    <row r="70" spans="1:13" ht="16.5" x14ac:dyDescent="0.35">
      <c r="C70" s="11" t="s">
        <v>124</v>
      </c>
      <c r="D70" s="69">
        <v>2.19</v>
      </c>
      <c r="E70" s="14">
        <v>1.498</v>
      </c>
      <c r="F70" s="14">
        <v>1.413</v>
      </c>
      <c r="G70" s="14">
        <v>1.089</v>
      </c>
      <c r="H70" s="14">
        <v>0.54700000000000004</v>
      </c>
      <c r="I70" s="14">
        <v>0.64600000000000002</v>
      </c>
      <c r="J70" s="14">
        <v>0.88700000000000001</v>
      </c>
      <c r="K70" s="14">
        <v>0.14799999999999999</v>
      </c>
      <c r="L70" s="14">
        <v>0.36599999999999999</v>
      </c>
      <c r="M70" s="14">
        <v>0.73699999999999999</v>
      </c>
    </row>
    <row r="71" spans="1:13" ht="16.5" x14ac:dyDescent="0.35">
      <c r="B71" s="25"/>
      <c r="C71" s="11" t="s">
        <v>125</v>
      </c>
      <c r="D71" s="70">
        <v>45.52</v>
      </c>
      <c r="E71" s="14">
        <v>38.435000000000002</v>
      </c>
      <c r="F71" s="14">
        <v>34.207000000000001</v>
      </c>
      <c r="G71" s="14">
        <v>27.994</v>
      </c>
      <c r="H71" s="14">
        <v>27.82</v>
      </c>
      <c r="I71" s="14">
        <v>20.422000000000001</v>
      </c>
      <c r="J71" s="14">
        <v>19.196999999999999</v>
      </c>
      <c r="K71" s="14">
        <v>12.407999999999999</v>
      </c>
      <c r="L71" s="14">
        <v>10.183999999999999</v>
      </c>
      <c r="M71" s="14">
        <v>10.782</v>
      </c>
    </row>
    <row r="72" spans="1:13" ht="16.5" x14ac:dyDescent="0.35">
      <c r="B72" s="17" t="s">
        <v>126</v>
      </c>
      <c r="D72" s="16">
        <f>SUM(D68:D71)</f>
        <v>88.330000000000013</v>
      </c>
      <c r="E72" s="16">
        <f>SUM(E68:E71)</f>
        <v>87.91</v>
      </c>
      <c r="F72" s="16">
        <f t="shared" ref="F72:M72" si="7">SUM(F68:F71)</f>
        <v>75.430000000000007</v>
      </c>
      <c r="G72" s="16">
        <f t="shared" si="7"/>
        <v>65.593999999999994</v>
      </c>
      <c r="H72" s="16">
        <f t="shared" si="7"/>
        <v>73.003999999999991</v>
      </c>
      <c r="I72" s="16">
        <f t="shared" si="7"/>
        <v>43.795000000000002</v>
      </c>
      <c r="J72" s="16">
        <f t="shared" si="7"/>
        <v>40.176000000000002</v>
      </c>
      <c r="K72" s="16">
        <f t="shared" si="7"/>
        <v>32.908000000000001</v>
      </c>
      <c r="L72" s="16">
        <f t="shared" si="7"/>
        <v>21.171999999999997</v>
      </c>
      <c r="M72" s="16">
        <f t="shared" si="7"/>
        <v>21.794</v>
      </c>
    </row>
    <row r="73" spans="1:13" ht="16.5" x14ac:dyDescent="0.35">
      <c r="A73" s="17"/>
      <c r="D73" s="69"/>
      <c r="E73" s="18"/>
      <c r="F73" s="18"/>
      <c r="G73" s="18"/>
      <c r="H73" s="18"/>
      <c r="I73" s="18"/>
      <c r="J73" s="18"/>
      <c r="K73" s="18"/>
      <c r="L73" s="18"/>
      <c r="M73" s="18"/>
    </row>
    <row r="74" spans="1:13" ht="16.5" x14ac:dyDescent="0.35">
      <c r="B74" s="17" t="s">
        <v>141</v>
      </c>
      <c r="D74" s="69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6.5" x14ac:dyDescent="0.35">
      <c r="C75" s="11" t="s">
        <v>127</v>
      </c>
      <c r="D75" s="69">
        <v>314.39999999999998</v>
      </c>
      <c r="E75" s="14">
        <v>197.59299999999999</v>
      </c>
      <c r="F75" s="14">
        <v>214.49</v>
      </c>
      <c r="G75" s="14">
        <v>238.85400000000001</v>
      </c>
      <c r="H75" s="14">
        <v>227.566</v>
      </c>
      <c r="I75" s="14">
        <v>30.736999999999998</v>
      </c>
      <c r="J75" s="14">
        <v>81.537999999999997</v>
      </c>
      <c r="K75" s="14">
        <v>0</v>
      </c>
      <c r="L75" s="14">
        <v>0</v>
      </c>
      <c r="M75" s="14">
        <v>0</v>
      </c>
    </row>
    <row r="76" spans="1:13" ht="16.5" x14ac:dyDescent="0.35">
      <c r="C76" s="11" t="s">
        <v>128</v>
      </c>
      <c r="D76" s="69">
        <v>0.4</v>
      </c>
      <c r="E76" s="14">
        <v>1.5429999999999999</v>
      </c>
      <c r="F76" s="14">
        <v>2.1560000000000001</v>
      </c>
      <c r="G76" s="14">
        <v>9.8640000000000008</v>
      </c>
      <c r="H76" s="14">
        <v>8.8940000000000001</v>
      </c>
      <c r="I76" s="14">
        <v>3.4889999999999999</v>
      </c>
      <c r="J76" s="14">
        <v>3.5270000000000001</v>
      </c>
      <c r="K76" s="14">
        <v>2.9449999999999998</v>
      </c>
      <c r="L76" s="14">
        <v>0</v>
      </c>
      <c r="M76" s="14">
        <v>0</v>
      </c>
    </row>
    <row r="77" spans="1:13" ht="16.5" x14ac:dyDescent="0.35">
      <c r="C77" s="11" t="s">
        <v>129</v>
      </c>
      <c r="D77" s="69">
        <v>26</v>
      </c>
      <c r="E77" s="14">
        <v>10.984999999999999</v>
      </c>
      <c r="F77" s="14">
        <v>6.3849999999999998</v>
      </c>
      <c r="G77" s="14">
        <v>2.548</v>
      </c>
      <c r="H77" s="14">
        <v>2.3730000000000002</v>
      </c>
      <c r="I77" s="14">
        <v>2.1120000000000001</v>
      </c>
      <c r="J77" s="14">
        <v>1.2669999999999999</v>
      </c>
      <c r="K77" s="14">
        <v>14.965</v>
      </c>
      <c r="L77" s="14">
        <v>8.7710000000000008</v>
      </c>
      <c r="M77" s="14">
        <v>6.0819999999999999</v>
      </c>
    </row>
    <row r="78" spans="1:13" ht="16.5" x14ac:dyDescent="0.35">
      <c r="B78" s="25"/>
      <c r="C78" s="11" t="s">
        <v>130</v>
      </c>
      <c r="D78" s="70">
        <v>12.9</v>
      </c>
      <c r="E78" s="14">
        <v>14.593999999999999</v>
      </c>
      <c r="F78" s="14">
        <v>13.445</v>
      </c>
      <c r="G78" s="14">
        <v>5.7169999999999996</v>
      </c>
      <c r="H78" s="14">
        <v>11.895</v>
      </c>
      <c r="I78" s="14">
        <v>9.7949999999999999</v>
      </c>
      <c r="J78" s="14">
        <v>7.3570000000000002</v>
      </c>
      <c r="K78" s="14">
        <v>5.6</v>
      </c>
      <c r="L78" s="14">
        <v>7.5279999999999996</v>
      </c>
      <c r="M78" s="14">
        <v>8.1760000000000002</v>
      </c>
    </row>
    <row r="79" spans="1:13" ht="16.5" x14ac:dyDescent="0.35">
      <c r="B79" s="17" t="s">
        <v>140</v>
      </c>
      <c r="D79" s="16">
        <f>SUM(D75:D78)</f>
        <v>353.69999999999993</v>
      </c>
      <c r="E79" s="16">
        <f>SUM(E75:E78)</f>
        <v>224.71499999999997</v>
      </c>
      <c r="F79" s="16">
        <v>311.90600000000001</v>
      </c>
      <c r="G79" s="16">
        <v>322.577</v>
      </c>
      <c r="H79" s="16">
        <v>323.73200000000003</v>
      </c>
      <c r="I79" s="16">
        <v>89.927999999999997</v>
      </c>
      <c r="J79" s="16">
        <v>133.86500000000001</v>
      </c>
      <c r="K79" s="16">
        <v>56.417999999999999</v>
      </c>
      <c r="L79" s="16">
        <v>37.470999999999997</v>
      </c>
      <c r="M79" s="16">
        <v>36.052</v>
      </c>
    </row>
    <row r="80" spans="1:13" ht="16.5" x14ac:dyDescent="0.35">
      <c r="A80" s="17"/>
      <c r="D80" s="69"/>
      <c r="E80" s="18"/>
      <c r="F80" s="18"/>
      <c r="G80" s="18"/>
      <c r="H80" s="18"/>
      <c r="I80" s="18"/>
      <c r="J80" s="18"/>
      <c r="K80" s="18"/>
      <c r="L80" s="18"/>
      <c r="M80" s="18"/>
    </row>
    <row r="81" spans="1:13" ht="16.5" x14ac:dyDescent="0.35">
      <c r="B81" s="17" t="s">
        <v>131</v>
      </c>
      <c r="D81" s="18">
        <f>D72+D79</f>
        <v>442.03</v>
      </c>
      <c r="E81" s="18">
        <f>E72+E79</f>
        <v>312.625</v>
      </c>
      <c r="F81" s="18">
        <f t="shared" ref="F81:M81" si="8">F72+F79</f>
        <v>387.33600000000001</v>
      </c>
      <c r="G81" s="18">
        <f t="shared" si="8"/>
        <v>388.17099999999999</v>
      </c>
      <c r="H81" s="18">
        <f t="shared" si="8"/>
        <v>396.73599999999999</v>
      </c>
      <c r="I81" s="18">
        <f t="shared" si="8"/>
        <v>133.72300000000001</v>
      </c>
      <c r="J81" s="18">
        <f t="shared" si="8"/>
        <v>174.041</v>
      </c>
      <c r="K81" s="18">
        <f t="shared" si="8"/>
        <v>89.325999999999993</v>
      </c>
      <c r="L81" s="18">
        <f t="shared" si="8"/>
        <v>58.642999999999994</v>
      </c>
      <c r="M81" s="18">
        <f t="shared" si="8"/>
        <v>57.846000000000004</v>
      </c>
    </row>
    <row r="82" spans="1:13" ht="16.5" x14ac:dyDescent="0.35">
      <c r="B82" s="17"/>
      <c r="D82" s="69"/>
      <c r="E82" s="18"/>
      <c r="F82" s="18"/>
      <c r="G82" s="18"/>
      <c r="H82" s="18"/>
      <c r="I82" s="18"/>
      <c r="J82" s="18"/>
      <c r="K82" s="18"/>
      <c r="L82" s="18"/>
      <c r="M82" s="18"/>
    </row>
    <row r="83" spans="1:13" ht="16.5" x14ac:dyDescent="0.35">
      <c r="B83" s="17" t="s">
        <v>144</v>
      </c>
      <c r="D83" s="69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6.5" x14ac:dyDescent="0.35">
      <c r="C84" s="11" t="s">
        <v>132</v>
      </c>
      <c r="D84" s="69">
        <v>206.2</v>
      </c>
      <c r="E84" s="14">
        <v>197.82599999999999</v>
      </c>
      <c r="F84" s="14">
        <v>187.709</v>
      </c>
      <c r="G84" s="14">
        <v>177.77500000000001</v>
      </c>
      <c r="H84" s="14">
        <v>172.34100000000001</v>
      </c>
      <c r="I84" s="14">
        <v>166.23099999999999</v>
      </c>
      <c r="J84" s="14">
        <v>67.090999999999994</v>
      </c>
      <c r="K84" s="14">
        <v>63.69</v>
      </c>
      <c r="L84" s="14">
        <v>61.689</v>
      </c>
      <c r="M84" s="14">
        <v>52.476999999999997</v>
      </c>
    </row>
    <row r="85" spans="1:13" ht="16.5" x14ac:dyDescent="0.35">
      <c r="C85" s="11" t="s">
        <v>142</v>
      </c>
      <c r="D85" s="69">
        <v>293.89999999999998</v>
      </c>
      <c r="E85" s="14">
        <v>273.76400000000001</v>
      </c>
      <c r="F85" s="14">
        <v>249.96199999999999</v>
      </c>
      <c r="G85" s="14">
        <v>226.988</v>
      </c>
      <c r="H85" s="14">
        <v>210.41800000000001</v>
      </c>
      <c r="I85" s="14">
        <v>190.708</v>
      </c>
      <c r="J85" s="14">
        <v>167.66399999999999</v>
      </c>
      <c r="K85" s="14">
        <v>155.20400000000001</v>
      </c>
      <c r="L85" s="14">
        <v>132.67400000000001</v>
      </c>
      <c r="M85" s="14">
        <v>111.947</v>
      </c>
    </row>
    <row r="86" spans="1:13" ht="16.5" x14ac:dyDescent="0.35">
      <c r="C86" s="11" t="s">
        <v>133</v>
      </c>
      <c r="D86" s="69">
        <v>0</v>
      </c>
      <c r="E86" s="14">
        <v>-5.5</v>
      </c>
      <c r="F86" s="14">
        <v>-2.8</v>
      </c>
      <c r="G86" s="14">
        <v>0.94299999999999995</v>
      </c>
      <c r="H86" s="14">
        <v>-1.1819999999999999</v>
      </c>
      <c r="I86" s="14">
        <v>0.15</v>
      </c>
      <c r="J86" s="14">
        <v>0.86</v>
      </c>
      <c r="K86" s="14">
        <v>-8.5000000000000006E-2</v>
      </c>
      <c r="L86" s="14">
        <v>-5.8000000000000003E-2</v>
      </c>
      <c r="M86" s="14">
        <v>-5.6000000000000001E-2</v>
      </c>
    </row>
    <row r="87" spans="1:13" ht="16.5" x14ac:dyDescent="0.35">
      <c r="C87" s="11" t="s">
        <v>134</v>
      </c>
      <c r="D87" s="72">
        <v>-1.9</v>
      </c>
      <c r="E87" s="14">
        <v>1.2999999999999999E-2</v>
      </c>
      <c r="F87" s="14">
        <v>0.38800000000000001</v>
      </c>
      <c r="G87" s="10" t="s">
        <v>18</v>
      </c>
      <c r="H87" s="10" t="s">
        <v>18</v>
      </c>
      <c r="I87" s="10" t="s">
        <v>18</v>
      </c>
      <c r="J87" s="10" t="s">
        <v>18</v>
      </c>
      <c r="K87" s="10" t="s">
        <v>18</v>
      </c>
      <c r="L87" s="10" t="s">
        <v>18</v>
      </c>
      <c r="M87" s="10" t="s">
        <v>18</v>
      </c>
    </row>
    <row r="88" spans="1:13" ht="16.5" x14ac:dyDescent="0.35">
      <c r="B88" s="17" t="s">
        <v>145</v>
      </c>
      <c r="D88" s="16">
        <f>SUM(D84:D87)</f>
        <v>498.2</v>
      </c>
      <c r="E88" s="16">
        <f>SUM(E84:E87)</f>
        <v>466.10300000000001</v>
      </c>
      <c r="F88" s="16">
        <f t="shared" ref="F88:M88" si="9">SUM(F84:F87)</f>
        <v>435.25899999999996</v>
      </c>
      <c r="G88" s="16">
        <f t="shared" si="9"/>
        <v>405.70600000000002</v>
      </c>
      <c r="H88" s="16">
        <f t="shared" si="9"/>
        <v>381.577</v>
      </c>
      <c r="I88" s="16">
        <f t="shared" si="9"/>
        <v>357.08899999999994</v>
      </c>
      <c r="J88" s="16">
        <f t="shared" si="9"/>
        <v>235.61500000000001</v>
      </c>
      <c r="K88" s="16">
        <f t="shared" si="9"/>
        <v>218.809</v>
      </c>
      <c r="L88" s="16">
        <f t="shared" si="9"/>
        <v>194.30500000000001</v>
      </c>
      <c r="M88" s="16">
        <f t="shared" si="9"/>
        <v>164.36799999999999</v>
      </c>
    </row>
    <row r="89" spans="1:13" ht="16.5" x14ac:dyDescent="0.35">
      <c r="A89" s="17"/>
      <c r="D89" s="69"/>
      <c r="E89" s="18"/>
      <c r="F89" s="18"/>
      <c r="G89" s="18"/>
      <c r="H89" s="18"/>
      <c r="I89" s="18"/>
      <c r="J89" s="18"/>
      <c r="K89" s="18"/>
      <c r="L89" s="18"/>
      <c r="M89" s="18"/>
    </row>
    <row r="90" spans="1:13" ht="17.25" thickBot="1" x14ac:dyDescent="0.4">
      <c r="A90" s="17" t="s">
        <v>135</v>
      </c>
      <c r="D90" s="24">
        <f>D81+D88</f>
        <v>940.23</v>
      </c>
      <c r="E90" s="24">
        <f>E81+E88</f>
        <v>778.72800000000007</v>
      </c>
      <c r="F90" s="24">
        <f t="shared" ref="F90:M90" si="10">F81+F88</f>
        <v>822.59500000000003</v>
      </c>
      <c r="G90" s="24">
        <f t="shared" si="10"/>
        <v>793.87699999999995</v>
      </c>
      <c r="H90" s="24">
        <f t="shared" si="10"/>
        <v>778.31299999999999</v>
      </c>
      <c r="I90" s="24">
        <f t="shared" si="10"/>
        <v>490.81199999999995</v>
      </c>
      <c r="J90" s="24">
        <f t="shared" si="10"/>
        <v>409.65600000000001</v>
      </c>
      <c r="K90" s="24">
        <f t="shared" si="10"/>
        <v>308.13499999999999</v>
      </c>
      <c r="L90" s="24">
        <f t="shared" si="10"/>
        <v>252.94800000000001</v>
      </c>
      <c r="M90" s="24">
        <f t="shared" si="10"/>
        <v>222.214</v>
      </c>
    </row>
    <row r="91" spans="1:13" ht="17.25" thickTop="1" x14ac:dyDescent="0.35">
      <c r="A91" s="53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1:13" ht="16.5" x14ac:dyDescent="0.35">
      <c r="A92" s="53" t="s">
        <v>203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1:13" ht="16.5" x14ac:dyDescent="0.35">
      <c r="A93" s="53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3" ht="16.5" x14ac:dyDescent="0.35">
      <c r="A94" s="11"/>
      <c r="D94" s="69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6.5" x14ac:dyDescent="0.35">
      <c r="A95" s="53" t="s">
        <v>202</v>
      </c>
      <c r="D95" s="69"/>
      <c r="E95" s="54"/>
      <c r="F95" s="54"/>
      <c r="G95" s="54"/>
      <c r="H95" s="54"/>
      <c r="I95" s="54"/>
      <c r="J95" s="54"/>
      <c r="K95" s="54"/>
      <c r="L95" s="54"/>
      <c r="M95" s="54"/>
    </row>
    <row r="96" spans="1:13" ht="16.5" x14ac:dyDescent="0.35">
      <c r="C96" s="11" t="s">
        <v>136</v>
      </c>
      <c r="D96" s="69">
        <v>111.16</v>
      </c>
      <c r="E96" s="14">
        <v>10.52936</v>
      </c>
      <c r="F96" s="14">
        <v>9.9797999999999991</v>
      </c>
      <c r="G96" s="14">
        <v>9.4689399999999999</v>
      </c>
      <c r="H96" s="14">
        <v>8.9806100000000004</v>
      </c>
      <c r="I96" s="14">
        <v>8.5005000000000006</v>
      </c>
      <c r="J96" s="14">
        <v>6.63774</v>
      </c>
      <c r="K96" s="14">
        <v>6.2115299999999998</v>
      </c>
      <c r="L96" s="14">
        <v>5.5331900000000003</v>
      </c>
      <c r="M96" s="14">
        <v>4.7967899999999997</v>
      </c>
    </row>
    <row r="97" spans="3:13" ht="16.5" x14ac:dyDescent="0.35">
      <c r="C97" s="11" t="s">
        <v>137</v>
      </c>
      <c r="D97" s="69">
        <v>2.3199999999999998</v>
      </c>
      <c r="E97" s="14">
        <v>3.8917703932952299</v>
      </c>
      <c r="F97" s="14">
        <v>3.2211445866006301</v>
      </c>
      <c r="G97" s="14">
        <v>2.3622741912897398</v>
      </c>
      <c r="H97" s="14">
        <v>2.0790792911106402</v>
      </c>
      <c r="I97" s="14">
        <v>5.6959626737764202</v>
      </c>
      <c r="J97" s="14">
        <v>3.3737648882937199</v>
      </c>
      <c r="K97" s="14">
        <v>4.5110962007748201</v>
      </c>
      <c r="L97" s="14">
        <v>4.96476710325003</v>
      </c>
      <c r="M97" s="14">
        <v>4.3389049685579302</v>
      </c>
    </row>
    <row r="98" spans="3:13" ht="16.5" x14ac:dyDescent="0.35">
      <c r="D98" s="69"/>
    </row>
    <row r="99" spans="3:13" ht="16.5" x14ac:dyDescent="0.35">
      <c r="C99" s="54" t="s">
        <v>192</v>
      </c>
      <c r="D99" s="14">
        <v>1.96888</v>
      </c>
      <c r="E99" s="14">
        <v>1.5262579999999999</v>
      </c>
      <c r="F99" s="14">
        <v>1.4759549999999999</v>
      </c>
      <c r="G99" s="14">
        <v>1.5031639999999999</v>
      </c>
      <c r="H99" s="14">
        <v>1.502148</v>
      </c>
      <c r="I99" s="14">
        <v>1.479007</v>
      </c>
      <c r="J99" s="14">
        <v>1.5352840000000001</v>
      </c>
      <c r="K99" s="14">
        <v>2.1377109999999999</v>
      </c>
      <c r="L99" s="14">
        <v>2.2536529999999999</v>
      </c>
      <c r="M99" s="14">
        <v>1.8869069999999999</v>
      </c>
    </row>
    <row r="100" spans="3:13" ht="16.5" x14ac:dyDescent="0.35">
      <c r="C100" s="54" t="s">
        <v>193</v>
      </c>
      <c r="D100" s="14">
        <v>58.888888999999999</v>
      </c>
      <c r="E100" s="14">
        <v>35.075471999999998</v>
      </c>
      <c r="F100" s="14">
        <v>32.698112999999999</v>
      </c>
      <c r="G100" s="14">
        <v>40.358974000000003</v>
      </c>
      <c r="H100" s="14">
        <v>30.217390999999999</v>
      </c>
      <c r="I100" s="14">
        <v>23.068966</v>
      </c>
      <c r="J100" s="14">
        <v>36.813952999999998</v>
      </c>
      <c r="K100" s="14">
        <v>24.354430000000001</v>
      </c>
      <c r="L100" s="14">
        <v>24.561644000000001</v>
      </c>
      <c r="M100" s="14">
        <v>25.272727</v>
      </c>
    </row>
    <row r="101" spans="3:13" ht="16.5" x14ac:dyDescent="0.35">
      <c r="C101" s="54" t="s">
        <v>194</v>
      </c>
      <c r="D101" s="14">
        <v>2.3747859999999998</v>
      </c>
      <c r="E101" s="14">
        <v>1.765539</v>
      </c>
      <c r="F101" s="14">
        <v>1.7365079999999999</v>
      </c>
      <c r="G101" s="14">
        <v>1.662277</v>
      </c>
      <c r="H101" s="14">
        <v>1.547779</v>
      </c>
      <c r="I101" s="14">
        <v>1.574025</v>
      </c>
      <c r="J101" s="14">
        <v>1.907878</v>
      </c>
      <c r="K101" s="14">
        <v>2.4779719999999998</v>
      </c>
      <c r="L101" s="14">
        <v>2.5923560000000001</v>
      </c>
      <c r="M101" s="14">
        <v>2.3182170000000002</v>
      </c>
    </row>
    <row r="102" spans="3:13" ht="16.5" x14ac:dyDescent="0.35">
      <c r="C102" s="54" t="s">
        <v>195</v>
      </c>
      <c r="D102" s="14">
        <v>11.423671000000001</v>
      </c>
      <c r="E102" s="14">
        <v>4.7767460000000002</v>
      </c>
      <c r="F102" s="14">
        <v>5.3800749999999997</v>
      </c>
      <c r="G102" s="14">
        <v>6.6630710000000004</v>
      </c>
      <c r="H102" s="14">
        <v>6.6856520000000002</v>
      </c>
      <c r="I102" s="14">
        <v>2.3490319999999998</v>
      </c>
      <c r="J102" s="14">
        <v>3.7536700000000001</v>
      </c>
      <c r="K102" s="14">
        <v>3.4120309999999998</v>
      </c>
      <c r="L102" s="14">
        <v>2.8891589999999998</v>
      </c>
      <c r="M102" s="14">
        <v>2.562859</v>
      </c>
    </row>
    <row r="103" spans="3:13" ht="16.5" x14ac:dyDescent="0.35">
      <c r="C103" s="54" t="s">
        <v>196</v>
      </c>
      <c r="D103" s="14">
        <v>22.180320999999999</v>
      </c>
      <c r="E103" s="14">
        <v>11.913091</v>
      </c>
      <c r="F103" s="14">
        <v>14.107416000000001</v>
      </c>
      <c r="G103" s="14">
        <v>13.139084</v>
      </c>
      <c r="H103" s="14">
        <v>12.618326</v>
      </c>
      <c r="I103" s="14">
        <v>15.629208999999999</v>
      </c>
      <c r="J103" s="14">
        <v>13.107112000000001</v>
      </c>
      <c r="K103" s="14">
        <v>18.303273000000001</v>
      </c>
      <c r="L103" s="14">
        <v>18.303768000000002</v>
      </c>
      <c r="M103" s="14">
        <v>12.205824</v>
      </c>
    </row>
    <row r="104" spans="3:13" ht="16.5" x14ac:dyDescent="0.35">
      <c r="C104" s="54" t="s">
        <v>197</v>
      </c>
      <c r="D104" s="14">
        <v>57.260523999999997</v>
      </c>
      <c r="E104" s="14">
        <v>44.729958000000003</v>
      </c>
      <c r="F104" s="14">
        <v>39.295757000000002</v>
      </c>
      <c r="G104" s="14" t="s">
        <v>18</v>
      </c>
      <c r="H104" s="14" t="s">
        <v>18</v>
      </c>
      <c r="I104" s="14" t="s">
        <v>18</v>
      </c>
      <c r="J104" s="14">
        <v>41.001010000000001</v>
      </c>
      <c r="K104" s="14">
        <v>47.479247000000001</v>
      </c>
      <c r="L104" s="14">
        <v>37.943925</v>
      </c>
      <c r="M104" s="14">
        <v>24.763998000000001</v>
      </c>
    </row>
    <row r="105" spans="3:13" ht="16.5" x14ac:dyDescent="0.35">
      <c r="C105" s="54" t="s">
        <v>203</v>
      </c>
      <c r="D105" s="14">
        <f>D18*D106</f>
        <v>1487.3695106599996</v>
      </c>
      <c r="E105" s="14">
        <f t="shared" ref="E105:M105" si="11">E18*E106</f>
        <v>1026.3394844559998</v>
      </c>
      <c r="F105" s="14">
        <f t="shared" si="11"/>
        <v>972.96558404800066</v>
      </c>
      <c r="G105" s="14">
        <f t="shared" si="11"/>
        <v>915.79111089300068</v>
      </c>
      <c r="H105" s="14">
        <f t="shared" si="11"/>
        <v>818.44403335000061</v>
      </c>
      <c r="I105" s="14">
        <f t="shared" si="11"/>
        <v>582.67601937600023</v>
      </c>
      <c r="J105" s="14">
        <f t="shared" si="11"/>
        <v>527.32750503600005</v>
      </c>
      <c r="K105" s="14">
        <f t="shared" si="11"/>
        <v>543.0694693349991</v>
      </c>
      <c r="L105" s="14">
        <f t="shared" si="11"/>
        <v>469.67753030399984</v>
      </c>
      <c r="M105" s="14">
        <f t="shared" si="11"/>
        <v>363.46669082999989</v>
      </c>
    </row>
    <row r="106" spans="3:13" ht="16.5" x14ac:dyDescent="0.35">
      <c r="C106" s="54" t="s">
        <v>198</v>
      </c>
      <c r="D106" s="14">
        <v>40.220917</v>
      </c>
      <c r="E106" s="14">
        <v>26.573271999999999</v>
      </c>
      <c r="F106" s="14">
        <v>23.908138000000001</v>
      </c>
      <c r="G106" s="14">
        <v>28.763186999999999</v>
      </c>
      <c r="H106" s="14">
        <v>25.299661</v>
      </c>
      <c r="I106" s="14">
        <v>14.929691999999999</v>
      </c>
      <c r="J106" s="14">
        <v>20.640657000000001</v>
      </c>
      <c r="K106" s="14">
        <v>16.533304999999999</v>
      </c>
      <c r="L106" s="14">
        <v>14.873568000000001</v>
      </c>
      <c r="M106" s="14">
        <v>15.823539</v>
      </c>
    </row>
    <row r="107" spans="3:13" ht="16.5" x14ac:dyDescent="0.35">
      <c r="C107" s="54" t="s">
        <v>199</v>
      </c>
      <c r="D107" s="14">
        <v>18.429067</v>
      </c>
      <c r="E107" s="14">
        <v>13.495943</v>
      </c>
      <c r="F107" s="14">
        <v>12.697756999999999</v>
      </c>
      <c r="G107" s="14">
        <v>14.224555000000001</v>
      </c>
      <c r="H107" s="14">
        <v>14.912252000000001</v>
      </c>
      <c r="I107" s="14">
        <v>10.007832000000001</v>
      </c>
      <c r="J107" s="14">
        <v>13.051368999999999</v>
      </c>
      <c r="K107" s="14">
        <v>12.036647</v>
      </c>
      <c r="L107" s="14">
        <v>11.231468</v>
      </c>
      <c r="M107" s="14">
        <v>11.213263</v>
      </c>
    </row>
    <row r="108" spans="3:13" ht="16.5" x14ac:dyDescent="0.35">
      <c r="C108" s="54" t="s">
        <v>200</v>
      </c>
      <c r="D108" s="14">
        <v>2.4648110000000001</v>
      </c>
      <c r="E108" s="14">
        <v>1.893095</v>
      </c>
      <c r="F108" s="14">
        <v>1.9089400000000001</v>
      </c>
      <c r="G108" s="14">
        <v>2.0394009999999998</v>
      </c>
      <c r="H108" s="14">
        <v>2.075752</v>
      </c>
      <c r="I108" s="14">
        <v>1.6210260000000001</v>
      </c>
      <c r="J108" s="14">
        <v>1.7769790000000001</v>
      </c>
      <c r="K108" s="14">
        <v>2.1093190000000002</v>
      </c>
      <c r="L108" s="14">
        <v>2.067761</v>
      </c>
      <c r="M108" s="14">
        <v>1.749387</v>
      </c>
    </row>
    <row r="109" spans="3:13" ht="16.5" x14ac:dyDescent="0.35">
      <c r="C109" s="54" t="s">
        <v>201</v>
      </c>
      <c r="D109" s="14">
        <v>3.8885040000000002</v>
      </c>
      <c r="E109" s="14">
        <v>6.2005140000000001</v>
      </c>
      <c r="F109" s="14">
        <v>4.609356</v>
      </c>
      <c r="G109" s="14">
        <v>3.9581050000000002</v>
      </c>
      <c r="H109" s="14">
        <v>30.518868000000001</v>
      </c>
      <c r="I109" s="14">
        <v>33.615848</v>
      </c>
      <c r="J109" s="14">
        <v>42.865772</v>
      </c>
      <c r="K109" s="14">
        <v>1173.107143</v>
      </c>
      <c r="L109" s="14">
        <v>1857.5294120000001</v>
      </c>
      <c r="M109" s="14">
        <v>7656.6666670000004</v>
      </c>
    </row>
    <row r="110" spans="3:13" ht="16.5" x14ac:dyDescent="0.35">
      <c r="D110" s="69"/>
    </row>
    <row r="111" spans="3:13" ht="16.5" x14ac:dyDescent="0.35">
      <c r="D111" s="69"/>
    </row>
    <row r="112" spans="3:13" ht="16.5" x14ac:dyDescent="0.35">
      <c r="D112" s="69"/>
    </row>
    <row r="113" spans="4:4" ht="16.5" x14ac:dyDescent="0.35">
      <c r="D113" s="69"/>
    </row>
    <row r="114" spans="4:4" ht="16.5" x14ac:dyDescent="0.35">
      <c r="D114" s="69"/>
    </row>
    <row r="115" spans="4:4" ht="16.5" x14ac:dyDescent="0.35">
      <c r="D115" s="69"/>
    </row>
    <row r="116" spans="4:4" ht="16.5" x14ac:dyDescent="0.35">
      <c r="D116" s="69"/>
    </row>
    <row r="117" spans="4:4" ht="16.5" x14ac:dyDescent="0.35">
      <c r="D117" s="69"/>
    </row>
  </sheetData>
  <mergeCells count="16">
    <mergeCell ref="A40:M40"/>
    <mergeCell ref="A42:M42"/>
    <mergeCell ref="A10:M10"/>
    <mergeCell ref="A26:M26"/>
    <mergeCell ref="A32:M32"/>
    <mergeCell ref="A35:M35"/>
    <mergeCell ref="A36:M36"/>
    <mergeCell ref="A37:M37"/>
    <mergeCell ref="A38:M38"/>
    <mergeCell ref="A39:M39"/>
    <mergeCell ref="A6:M6"/>
    <mergeCell ref="A1:M1"/>
    <mergeCell ref="A2:M2"/>
    <mergeCell ref="A3:M3"/>
    <mergeCell ref="A4:M4"/>
    <mergeCell ref="A5:M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68"/>
  <sheetViews>
    <sheetView topLeftCell="A13" workbookViewId="0">
      <selection activeCell="D33" sqref="D33"/>
    </sheetView>
  </sheetViews>
  <sheetFormatPr defaultRowHeight="15" x14ac:dyDescent="0.25"/>
  <cols>
    <col min="1" max="1" width="30.7109375" customWidth="1"/>
    <col min="2" max="8" width="15.7109375" customWidth="1"/>
  </cols>
  <sheetData>
    <row r="1" spans="1:8" ht="15.95" customHeight="1" x14ac:dyDescent="0.25">
      <c r="A1" s="84" t="s">
        <v>0</v>
      </c>
      <c r="B1" s="84"/>
      <c r="C1" s="84"/>
      <c r="D1" s="84"/>
      <c r="E1" s="84"/>
      <c r="F1" s="84"/>
      <c r="G1" s="84"/>
      <c r="H1" s="84"/>
    </row>
    <row r="2" spans="1:8" ht="15.95" customHeight="1" x14ac:dyDescent="0.25">
      <c r="A2" s="84" t="s">
        <v>1</v>
      </c>
      <c r="B2" s="84"/>
      <c r="C2" s="84"/>
      <c r="D2" s="84"/>
      <c r="E2" s="84"/>
      <c r="F2" s="84"/>
      <c r="G2" s="84"/>
      <c r="H2" s="84"/>
    </row>
    <row r="3" spans="1:8" ht="15.95" customHeight="1" x14ac:dyDescent="0.25">
      <c r="A3" s="84" t="s">
        <v>70</v>
      </c>
      <c r="B3" s="84"/>
      <c r="C3" s="84"/>
      <c r="D3" s="84"/>
      <c r="E3" s="84"/>
      <c r="F3" s="84"/>
      <c r="G3" s="84"/>
      <c r="H3" s="84"/>
    </row>
    <row r="4" spans="1:8" ht="12.6" customHeight="1" x14ac:dyDescent="0.25">
      <c r="A4" s="1"/>
      <c r="B4" s="1"/>
      <c r="C4" s="1"/>
      <c r="D4" s="1"/>
      <c r="E4" s="1"/>
      <c r="F4" s="1"/>
      <c r="G4" s="1"/>
      <c r="H4" s="1"/>
    </row>
    <row r="5" spans="1:8" ht="15.95" customHeight="1" x14ac:dyDescent="0.25">
      <c r="A5" s="2" t="s">
        <v>2</v>
      </c>
      <c r="B5" s="1"/>
      <c r="C5" s="1"/>
      <c r="D5" s="1"/>
      <c r="E5" s="1"/>
      <c r="F5" s="1"/>
      <c r="G5" s="1"/>
      <c r="H5" s="1"/>
    </row>
    <row r="6" spans="1:8" ht="15.95" customHeight="1" x14ac:dyDescent="0.25">
      <c r="A6" s="1"/>
      <c r="B6" s="1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</row>
    <row r="7" spans="1:8" ht="15.95" customHeight="1" x14ac:dyDescent="0.25">
      <c r="A7" s="1"/>
      <c r="B7" s="7" t="s">
        <v>10</v>
      </c>
      <c r="C7" s="5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</row>
    <row r="8" spans="1:8" ht="15.95" customHeight="1" x14ac:dyDescent="0.25">
      <c r="A8" s="1" t="s">
        <v>17</v>
      </c>
      <c r="B8" s="3">
        <v>0.87</v>
      </c>
      <c r="C8" s="6">
        <v>0.995</v>
      </c>
      <c r="D8" s="6">
        <v>1.1499999999999999</v>
      </c>
      <c r="E8" s="6">
        <v>1.3</v>
      </c>
      <c r="F8" s="6">
        <v>1.42</v>
      </c>
      <c r="G8" s="6">
        <v>1.54</v>
      </c>
      <c r="H8" s="6">
        <v>1.69</v>
      </c>
    </row>
    <row r="9" spans="1:8" ht="15.95" customHeight="1" x14ac:dyDescent="0.25">
      <c r="A9" s="1" t="s">
        <v>19</v>
      </c>
      <c r="B9" s="3">
        <v>0.53</v>
      </c>
      <c r="C9" s="6">
        <v>0.442</v>
      </c>
      <c r="D9" s="6">
        <v>0.88400000000000001</v>
      </c>
      <c r="E9" s="6">
        <v>1.0640000000000001</v>
      </c>
      <c r="F9" s="6">
        <v>1.21</v>
      </c>
      <c r="G9" s="6">
        <v>1.33</v>
      </c>
      <c r="H9" s="6">
        <v>1.69</v>
      </c>
    </row>
    <row r="10" spans="1:8" ht="15.95" customHeight="1" x14ac:dyDescent="0.25">
      <c r="A10" s="1" t="s">
        <v>20</v>
      </c>
      <c r="B10" s="3">
        <v>0.87</v>
      </c>
      <c r="C10" s="6">
        <v>0.995</v>
      </c>
      <c r="D10" s="6">
        <v>1.1499999999999999</v>
      </c>
      <c r="E10" s="6">
        <v>1.3</v>
      </c>
      <c r="F10" s="6">
        <v>1.42</v>
      </c>
      <c r="G10" s="6">
        <v>1.54</v>
      </c>
      <c r="H10" s="6">
        <v>1.69</v>
      </c>
    </row>
    <row r="12" spans="1:8" x14ac:dyDescent="0.25">
      <c r="A12" s="2" t="s">
        <v>21</v>
      </c>
      <c r="B12" s="1"/>
      <c r="C12" s="1"/>
      <c r="D12" s="1"/>
      <c r="E12" s="1"/>
      <c r="F12" s="1"/>
      <c r="G12" s="1"/>
      <c r="H12" s="1"/>
    </row>
    <row r="13" spans="1:8" x14ac:dyDescent="0.25">
      <c r="A13" s="1" t="s">
        <v>22</v>
      </c>
      <c r="B13" s="8">
        <v>542.149</v>
      </c>
      <c r="C13" s="9">
        <v>607.75400000000002</v>
      </c>
      <c r="D13" s="9">
        <v>660.45699999999999</v>
      </c>
      <c r="E13" s="9">
        <v>703.96299999999997</v>
      </c>
      <c r="F13" s="9">
        <v>723</v>
      </c>
      <c r="G13" s="9">
        <v>765.3</v>
      </c>
      <c r="H13" s="9">
        <v>920.3</v>
      </c>
    </row>
    <row r="14" spans="1:8" x14ac:dyDescent="0.25">
      <c r="A14" s="1" t="s">
        <v>23</v>
      </c>
      <c r="B14" s="8" t="s">
        <v>18</v>
      </c>
      <c r="C14" s="9">
        <v>180.6</v>
      </c>
      <c r="D14" s="9">
        <v>200.8</v>
      </c>
      <c r="E14" s="9">
        <v>220.8</v>
      </c>
      <c r="F14" s="9" t="s">
        <v>18</v>
      </c>
      <c r="G14" s="9" t="s">
        <v>18</v>
      </c>
      <c r="H14" s="9" t="s">
        <v>18</v>
      </c>
    </row>
    <row r="15" spans="1:8" x14ac:dyDescent="0.25">
      <c r="A15" s="1" t="s">
        <v>24</v>
      </c>
      <c r="B15" s="8" t="s">
        <v>18</v>
      </c>
      <c r="C15" s="9">
        <v>118.7</v>
      </c>
      <c r="D15" s="9">
        <v>121.9</v>
      </c>
      <c r="E15" s="9">
        <v>124.4</v>
      </c>
      <c r="F15" s="9" t="s">
        <v>18</v>
      </c>
      <c r="G15" s="9" t="s">
        <v>18</v>
      </c>
      <c r="H15" s="9" t="s">
        <v>18</v>
      </c>
    </row>
    <row r="16" spans="1:8" x14ac:dyDescent="0.25">
      <c r="A16" s="1" t="s">
        <v>25</v>
      </c>
      <c r="B16" s="8" t="s">
        <v>18</v>
      </c>
      <c r="C16" s="9">
        <v>73.2</v>
      </c>
      <c r="D16" s="9">
        <v>73</v>
      </c>
      <c r="E16" s="9">
        <v>74.5</v>
      </c>
      <c r="F16" s="9" t="s">
        <v>18</v>
      </c>
      <c r="G16" s="9" t="s">
        <v>18</v>
      </c>
      <c r="H16" s="9" t="s">
        <v>18</v>
      </c>
    </row>
    <row r="17" spans="1:8" x14ac:dyDescent="0.25">
      <c r="A17" s="1" t="s">
        <v>26</v>
      </c>
      <c r="B17" s="8" t="s">
        <v>18</v>
      </c>
      <c r="C17" s="9">
        <v>111</v>
      </c>
      <c r="D17" s="9">
        <v>123.3</v>
      </c>
      <c r="E17" s="9">
        <v>133.19999999999999</v>
      </c>
      <c r="F17" s="9" t="s">
        <v>18</v>
      </c>
      <c r="G17" s="9" t="s">
        <v>18</v>
      </c>
      <c r="H17" s="9" t="s">
        <v>18</v>
      </c>
    </row>
    <row r="18" spans="1:8" x14ac:dyDescent="0.25">
      <c r="A18" s="1" t="s">
        <v>27</v>
      </c>
      <c r="B18" s="8" t="s">
        <v>18</v>
      </c>
      <c r="C18" s="9">
        <v>45.92</v>
      </c>
      <c r="D18" s="9">
        <v>48.07</v>
      </c>
      <c r="E18" s="9">
        <v>51.405000000000001</v>
      </c>
      <c r="F18" s="9" t="s">
        <v>18</v>
      </c>
      <c r="G18" s="9" t="s">
        <v>18</v>
      </c>
      <c r="H18" s="9" t="s">
        <v>18</v>
      </c>
    </row>
    <row r="19" spans="1:8" x14ac:dyDescent="0.25">
      <c r="A19" s="1" t="s">
        <v>28</v>
      </c>
      <c r="B19" s="8" t="s">
        <v>18</v>
      </c>
      <c r="C19" s="9" t="s">
        <v>18</v>
      </c>
      <c r="D19" s="9" t="s">
        <v>18</v>
      </c>
      <c r="E19" s="9" t="s">
        <v>18</v>
      </c>
      <c r="F19" s="9" t="s">
        <v>18</v>
      </c>
      <c r="G19" s="9" t="s">
        <v>18</v>
      </c>
      <c r="H19" s="9" t="s">
        <v>18</v>
      </c>
    </row>
    <row r="20" spans="1:8" x14ac:dyDescent="0.25">
      <c r="A20" s="1" t="s">
        <v>29</v>
      </c>
      <c r="B20" s="8" t="s">
        <v>18</v>
      </c>
      <c r="C20" s="9" t="s">
        <v>18</v>
      </c>
      <c r="D20" s="9" t="s">
        <v>18</v>
      </c>
      <c r="E20" s="9" t="s">
        <v>18</v>
      </c>
      <c r="F20" s="9" t="s">
        <v>18</v>
      </c>
      <c r="G20" s="9" t="s">
        <v>18</v>
      </c>
      <c r="H20" s="9" t="s">
        <v>18</v>
      </c>
    </row>
    <row r="21" spans="1:8" x14ac:dyDescent="0.25">
      <c r="A21" s="1" t="s">
        <v>30</v>
      </c>
      <c r="B21" s="8" t="s">
        <v>18</v>
      </c>
      <c r="C21" s="9" t="s">
        <v>18</v>
      </c>
      <c r="D21" s="9" t="s">
        <v>18</v>
      </c>
      <c r="E21" s="9" t="s">
        <v>18</v>
      </c>
      <c r="F21" s="9" t="s">
        <v>18</v>
      </c>
      <c r="G21" s="9" t="s">
        <v>18</v>
      </c>
      <c r="H21" s="9" t="s">
        <v>18</v>
      </c>
    </row>
    <row r="23" spans="1:8" x14ac:dyDescent="0.25">
      <c r="A23" s="2" t="s">
        <v>31</v>
      </c>
      <c r="B23" s="1"/>
      <c r="C23" s="1"/>
      <c r="D23" s="1"/>
      <c r="E23" s="1"/>
      <c r="F23" s="1"/>
      <c r="G23" s="1"/>
      <c r="H23" s="1"/>
    </row>
    <row r="24" spans="1:8" x14ac:dyDescent="0.25">
      <c r="A24" s="1" t="s">
        <v>22</v>
      </c>
      <c r="B24" s="8">
        <v>542.149</v>
      </c>
      <c r="C24" s="9">
        <v>607.75400000000002</v>
      </c>
      <c r="D24" s="9">
        <v>660.45699999999999</v>
      </c>
      <c r="E24" s="9">
        <v>703.96299999999997</v>
      </c>
      <c r="F24" s="9">
        <v>723</v>
      </c>
      <c r="G24" s="9">
        <v>765.3</v>
      </c>
      <c r="H24" s="9">
        <v>920.3</v>
      </c>
    </row>
    <row r="25" spans="1:8" x14ac:dyDescent="0.25">
      <c r="A25" s="1" t="s">
        <v>32</v>
      </c>
      <c r="B25" s="8">
        <v>306.36799999999999</v>
      </c>
      <c r="C25" s="9">
        <v>328.59199999999998</v>
      </c>
      <c r="D25" s="9">
        <v>352.34</v>
      </c>
      <c r="E25" s="9">
        <v>372.87900000000002</v>
      </c>
      <c r="F25" s="9">
        <v>384.6</v>
      </c>
      <c r="G25" s="9">
        <v>404.4</v>
      </c>
      <c r="H25" s="9">
        <v>455.5</v>
      </c>
    </row>
    <row r="26" spans="1:8" x14ac:dyDescent="0.25">
      <c r="A26" s="1" t="s">
        <v>33</v>
      </c>
      <c r="B26" s="8" t="s">
        <v>18</v>
      </c>
      <c r="C26" s="9">
        <v>8</v>
      </c>
      <c r="D26" s="9" t="s">
        <v>18</v>
      </c>
      <c r="E26" s="9" t="s">
        <v>18</v>
      </c>
      <c r="F26" s="9" t="s">
        <v>18</v>
      </c>
      <c r="G26" s="9" t="s">
        <v>18</v>
      </c>
      <c r="H26" s="9" t="s">
        <v>18</v>
      </c>
    </row>
    <row r="27" spans="1:8" x14ac:dyDescent="0.25">
      <c r="A27" s="1" t="s">
        <v>34</v>
      </c>
      <c r="B27" s="8">
        <v>235.79</v>
      </c>
      <c r="C27" s="9">
        <v>278.56900000000002</v>
      </c>
      <c r="D27" s="9">
        <v>308.20600000000002</v>
      </c>
      <c r="E27" s="9">
        <v>331.32499999999999</v>
      </c>
      <c r="F27" s="9">
        <v>338.4</v>
      </c>
      <c r="G27" s="9">
        <v>360.8</v>
      </c>
      <c r="H27" s="9">
        <v>464.7</v>
      </c>
    </row>
    <row r="28" spans="1:8" x14ac:dyDescent="0.25">
      <c r="A28" s="1" t="s">
        <v>35</v>
      </c>
      <c r="B28" s="8">
        <v>152.774</v>
      </c>
      <c r="C28" s="9">
        <v>173.14</v>
      </c>
      <c r="D28" s="9">
        <v>185.66800000000001</v>
      </c>
      <c r="E28" s="9">
        <v>195.46199999999999</v>
      </c>
      <c r="F28" s="9">
        <v>193.8</v>
      </c>
      <c r="G28" s="9">
        <v>203.9</v>
      </c>
      <c r="H28" s="9" t="s">
        <v>18</v>
      </c>
    </row>
    <row r="29" spans="1:8" x14ac:dyDescent="0.25">
      <c r="A29" s="1" t="s">
        <v>36</v>
      </c>
      <c r="B29" s="8">
        <v>40.81</v>
      </c>
      <c r="C29" s="9">
        <v>45.46</v>
      </c>
      <c r="D29" s="9">
        <v>49.1663</v>
      </c>
      <c r="E29" s="9">
        <v>51.695300000000003</v>
      </c>
      <c r="F29" s="9">
        <v>53.5</v>
      </c>
      <c r="G29" s="9">
        <v>56.6</v>
      </c>
      <c r="H29" s="9" t="s">
        <v>18</v>
      </c>
    </row>
    <row r="30" spans="1:8" x14ac:dyDescent="0.25">
      <c r="A30" s="1" t="s">
        <v>37</v>
      </c>
      <c r="B30" s="8">
        <v>82.625</v>
      </c>
      <c r="C30" s="9">
        <v>94.775000000000006</v>
      </c>
      <c r="D30" s="9">
        <v>104.003</v>
      </c>
      <c r="E30" s="9">
        <v>114.251</v>
      </c>
      <c r="F30" s="9" t="s">
        <v>18</v>
      </c>
      <c r="G30" s="9" t="s">
        <v>18</v>
      </c>
      <c r="H30" s="9">
        <v>177.3</v>
      </c>
    </row>
    <row r="31" spans="1:8" x14ac:dyDescent="0.25">
      <c r="A31" s="1" t="s">
        <v>38</v>
      </c>
      <c r="B31" s="8">
        <v>84.320999999999998</v>
      </c>
      <c r="C31" s="9">
        <v>97.12</v>
      </c>
      <c r="D31" s="9">
        <v>102.297</v>
      </c>
      <c r="E31" s="9">
        <v>112.423</v>
      </c>
      <c r="F31" s="9" t="s">
        <v>18</v>
      </c>
      <c r="G31" s="9" t="s">
        <v>18</v>
      </c>
      <c r="H31" s="9"/>
    </row>
    <row r="32" spans="1:8" x14ac:dyDescent="0.25">
      <c r="A32" s="1" t="s">
        <v>39</v>
      </c>
      <c r="B32" s="8">
        <v>37.404499999999999</v>
      </c>
      <c r="C32" s="9">
        <v>42.78</v>
      </c>
      <c r="D32" s="9">
        <v>45</v>
      </c>
      <c r="E32" s="9">
        <v>46.5</v>
      </c>
      <c r="F32" s="9" t="s">
        <v>18</v>
      </c>
      <c r="G32" s="9" t="s">
        <v>18</v>
      </c>
      <c r="H32" s="9" t="s">
        <v>18</v>
      </c>
    </row>
    <row r="33" spans="1:8" x14ac:dyDescent="0.25">
      <c r="A33" s="1" t="s">
        <v>40</v>
      </c>
      <c r="B33" s="8">
        <v>42.211500000000001</v>
      </c>
      <c r="C33" s="9">
        <v>69.2667</v>
      </c>
      <c r="D33" s="9">
        <v>81</v>
      </c>
      <c r="E33" s="9">
        <v>91.69</v>
      </c>
      <c r="F33" s="9">
        <v>91.1</v>
      </c>
      <c r="G33" s="9">
        <v>100.3</v>
      </c>
      <c r="H33" s="9">
        <v>138</v>
      </c>
    </row>
    <row r="34" spans="1:8" x14ac:dyDescent="0.25">
      <c r="A34" s="1" t="s">
        <v>41</v>
      </c>
      <c r="B34" s="8">
        <v>42.211500000000001</v>
      </c>
      <c r="C34" s="9">
        <v>64.900000000000006</v>
      </c>
      <c r="D34" s="9">
        <v>75.599999999999994</v>
      </c>
      <c r="E34" s="9">
        <v>82</v>
      </c>
      <c r="F34" s="9">
        <v>91.1</v>
      </c>
      <c r="G34" s="9">
        <v>100.3</v>
      </c>
      <c r="H34" s="9" t="s">
        <v>18</v>
      </c>
    </row>
    <row r="35" spans="1:8" x14ac:dyDescent="0.25">
      <c r="A35" s="1" t="s">
        <v>42</v>
      </c>
      <c r="B35" s="8">
        <v>6.3714999999999975</v>
      </c>
      <c r="C35" s="8">
        <v>3.8133000000000052</v>
      </c>
      <c r="D35" s="8">
        <v>3.0799999999999983</v>
      </c>
      <c r="E35" s="8">
        <v>-1.3666999999999945</v>
      </c>
      <c r="F35" s="8">
        <v>8.7999999999999972</v>
      </c>
      <c r="G35" s="8">
        <v>8.3999999999999915</v>
      </c>
      <c r="H35" s="9" t="s">
        <v>18</v>
      </c>
    </row>
    <row r="36" spans="1:8" x14ac:dyDescent="0.25">
      <c r="A36" s="1" t="s">
        <v>43</v>
      </c>
      <c r="B36" s="8">
        <v>35.840000000000003</v>
      </c>
      <c r="C36" s="9">
        <v>61.0867</v>
      </c>
      <c r="D36" s="9">
        <v>72.52</v>
      </c>
      <c r="E36" s="9">
        <v>83.366699999999994</v>
      </c>
      <c r="F36" s="9">
        <v>82.3</v>
      </c>
      <c r="G36" s="9">
        <v>91.9</v>
      </c>
      <c r="H36" s="9">
        <v>131</v>
      </c>
    </row>
    <row r="37" spans="1:8" x14ac:dyDescent="0.25">
      <c r="A37" s="1" t="s">
        <v>44</v>
      </c>
      <c r="B37" s="8">
        <v>32.28</v>
      </c>
      <c r="C37" s="9" t="s">
        <v>18</v>
      </c>
      <c r="D37" s="9" t="s">
        <v>18</v>
      </c>
      <c r="E37" s="9" t="s">
        <v>18</v>
      </c>
      <c r="F37" s="9" t="s">
        <v>18</v>
      </c>
      <c r="G37" s="9" t="s">
        <v>18</v>
      </c>
      <c r="H37" s="9" t="s">
        <v>18</v>
      </c>
    </row>
    <row r="38" spans="1:8" x14ac:dyDescent="0.25">
      <c r="A38" s="1" t="s">
        <v>45</v>
      </c>
      <c r="B38" s="8">
        <v>8.8989999999999991</v>
      </c>
      <c r="C38" s="9">
        <v>15.563000000000001</v>
      </c>
      <c r="D38" s="9">
        <v>19.155799999999999</v>
      </c>
      <c r="E38" s="9">
        <v>22.471</v>
      </c>
      <c r="F38" s="9">
        <v>24.7</v>
      </c>
      <c r="G38" s="9">
        <v>27.6</v>
      </c>
      <c r="H38" s="9">
        <v>40</v>
      </c>
    </row>
    <row r="39" spans="1:8" x14ac:dyDescent="0.25">
      <c r="A39" s="1" t="s">
        <v>46</v>
      </c>
      <c r="B39" s="8">
        <v>23.802</v>
      </c>
      <c r="C39" s="9">
        <v>19.838200000000001</v>
      </c>
      <c r="D39" s="9">
        <v>38.775700000000001</v>
      </c>
      <c r="E39" s="9">
        <v>47.783700000000003</v>
      </c>
      <c r="F39" s="9">
        <v>57.6</v>
      </c>
      <c r="G39" s="9">
        <v>64.3</v>
      </c>
      <c r="H39" s="9">
        <v>91.1</v>
      </c>
    </row>
    <row r="40" spans="1:8" x14ac:dyDescent="0.25">
      <c r="A40" s="1" t="s">
        <v>47</v>
      </c>
      <c r="B40" s="8">
        <v>38.521000000000001</v>
      </c>
      <c r="C40" s="9">
        <v>44.686</v>
      </c>
      <c r="D40" s="9">
        <v>52.241199999999999</v>
      </c>
      <c r="E40" s="9">
        <v>59.7562</v>
      </c>
      <c r="F40" s="9">
        <v>67.599999999999994</v>
      </c>
      <c r="G40" s="9">
        <v>74.3</v>
      </c>
      <c r="H40" s="9" t="s">
        <v>18</v>
      </c>
    </row>
    <row r="41" spans="1:8" x14ac:dyDescent="0.25">
      <c r="A41" s="1" t="s">
        <v>48</v>
      </c>
      <c r="B41" s="8">
        <v>23.802</v>
      </c>
      <c r="C41" s="9">
        <v>19.838200000000001</v>
      </c>
      <c r="D41" s="9">
        <v>38.775700000000001</v>
      </c>
      <c r="E41" s="9">
        <v>47.783700000000003</v>
      </c>
      <c r="F41" s="9">
        <v>57.6</v>
      </c>
      <c r="G41" s="9">
        <v>64.3</v>
      </c>
      <c r="H41" s="9" t="s">
        <v>18</v>
      </c>
    </row>
    <row r="43" spans="1:8" x14ac:dyDescent="0.25">
      <c r="A43" s="2" t="s">
        <v>49</v>
      </c>
      <c r="B43" s="1"/>
      <c r="C43" s="1"/>
      <c r="D43" s="1"/>
      <c r="E43" s="1"/>
      <c r="F43" s="1"/>
      <c r="G43" s="1"/>
      <c r="H43" s="1"/>
    </row>
    <row r="44" spans="1:8" x14ac:dyDescent="0.25">
      <c r="A44" s="1" t="s">
        <v>50</v>
      </c>
      <c r="B44" s="8">
        <v>50.847999999999999</v>
      </c>
      <c r="C44" s="9">
        <v>33.801000000000002</v>
      </c>
      <c r="D44" s="9">
        <v>36</v>
      </c>
      <c r="E44" s="9">
        <v>37.5</v>
      </c>
      <c r="F44" s="9">
        <v>42.5</v>
      </c>
      <c r="G44" s="9">
        <v>47.7</v>
      </c>
      <c r="H44" s="9">
        <v>50.6</v>
      </c>
    </row>
    <row r="45" spans="1:8" x14ac:dyDescent="0.25">
      <c r="A45" s="1" t="s">
        <v>51</v>
      </c>
      <c r="B45" s="8">
        <v>0.36299999999999999</v>
      </c>
      <c r="C45" s="9">
        <v>16.231999999999999</v>
      </c>
      <c r="D45" s="9">
        <v>38.243000000000002</v>
      </c>
      <c r="E45" s="9">
        <v>46.924999999999997</v>
      </c>
      <c r="F45" s="9">
        <v>59.7</v>
      </c>
      <c r="G45" s="9" t="s">
        <v>18</v>
      </c>
      <c r="H45" s="9" t="s">
        <v>18</v>
      </c>
    </row>
    <row r="46" spans="1:8" x14ac:dyDescent="0.25">
      <c r="A46" s="1" t="s">
        <v>52</v>
      </c>
      <c r="B46" s="8" t="s">
        <v>18</v>
      </c>
      <c r="C46" s="9" t="s">
        <v>18</v>
      </c>
      <c r="D46" s="9" t="s">
        <v>18</v>
      </c>
      <c r="E46" s="9" t="s">
        <v>18</v>
      </c>
      <c r="F46" s="9" t="s">
        <v>18</v>
      </c>
      <c r="G46" s="9" t="s">
        <v>18</v>
      </c>
      <c r="H46" s="9" t="s">
        <v>18</v>
      </c>
    </row>
    <row r="47" spans="1:8" x14ac:dyDescent="0.25">
      <c r="A47" s="1" t="s">
        <v>53</v>
      </c>
      <c r="B47">
        <v>0</v>
      </c>
      <c r="C47" s="8">
        <v>-159.13999999999999</v>
      </c>
      <c r="D47" s="9">
        <v>-39.4</v>
      </c>
      <c r="E47" s="9">
        <v>-42.2</v>
      </c>
      <c r="F47" s="9">
        <v>-44.9</v>
      </c>
      <c r="G47" s="9">
        <v>-47.7</v>
      </c>
      <c r="H47" s="9">
        <v>-50.6</v>
      </c>
    </row>
    <row r="48" spans="1:8" x14ac:dyDescent="0.25">
      <c r="A48" s="1" t="s">
        <v>54</v>
      </c>
      <c r="B48" s="8" t="s">
        <v>18</v>
      </c>
      <c r="C48" s="9">
        <v>121.1</v>
      </c>
      <c r="D48" s="9">
        <v>30.5</v>
      </c>
      <c r="E48" s="9">
        <v>-10</v>
      </c>
      <c r="F48" s="9">
        <v>-10</v>
      </c>
      <c r="G48" s="9">
        <v>-10</v>
      </c>
      <c r="H48" s="9">
        <v>-10</v>
      </c>
    </row>
    <row r="50" spans="1:8" x14ac:dyDescent="0.25">
      <c r="A50" s="2" t="s">
        <v>69</v>
      </c>
      <c r="B50" s="1"/>
      <c r="C50" s="1"/>
      <c r="D50" s="1"/>
      <c r="E50" s="1"/>
      <c r="F50" s="1"/>
      <c r="G50" s="1"/>
      <c r="H50" s="1"/>
    </row>
    <row r="51" spans="1:8" x14ac:dyDescent="0.25">
      <c r="A51" s="1" t="s">
        <v>17</v>
      </c>
      <c r="B51" s="3">
        <v>0.87</v>
      </c>
      <c r="C51" s="6">
        <v>0.995</v>
      </c>
      <c r="D51" s="6">
        <v>1.1499999999999999</v>
      </c>
      <c r="E51" s="6">
        <v>1.3</v>
      </c>
      <c r="F51" s="6">
        <v>1.42</v>
      </c>
      <c r="G51" s="6">
        <v>1.56</v>
      </c>
      <c r="H51" s="6">
        <v>1.69</v>
      </c>
    </row>
    <row r="52" spans="1:8" x14ac:dyDescent="0.25">
      <c r="A52" s="1" t="s">
        <v>19</v>
      </c>
      <c r="B52" s="3">
        <v>0.53</v>
      </c>
      <c r="C52" s="6">
        <v>0.442</v>
      </c>
      <c r="D52" s="6">
        <v>0.88400000000000001</v>
      </c>
      <c r="E52" s="6">
        <v>1.0640000000000001</v>
      </c>
      <c r="F52" s="6">
        <v>1.21</v>
      </c>
      <c r="G52" s="6"/>
      <c r="H52" s="6" t="s">
        <v>18</v>
      </c>
    </row>
    <row r="53" spans="1:8" x14ac:dyDescent="0.25">
      <c r="A53" s="1" t="s">
        <v>20</v>
      </c>
      <c r="B53" s="3">
        <v>0.87</v>
      </c>
      <c r="C53" s="6">
        <v>0.995</v>
      </c>
      <c r="D53" s="6">
        <v>1.1499999999999999</v>
      </c>
      <c r="E53" s="6">
        <v>1.3</v>
      </c>
      <c r="F53" s="6">
        <v>1.42</v>
      </c>
      <c r="G53" s="6"/>
      <c r="H53" s="6" t="s">
        <v>18</v>
      </c>
    </row>
    <row r="55" spans="1:8" x14ac:dyDescent="0.25">
      <c r="A55" s="2" t="s">
        <v>55</v>
      </c>
      <c r="B55" s="1"/>
      <c r="C55" s="1"/>
      <c r="D55" s="1"/>
      <c r="E55" s="1"/>
      <c r="F55" s="1"/>
      <c r="G55" s="1"/>
      <c r="H55" s="1"/>
    </row>
    <row r="56" spans="1:8" x14ac:dyDescent="0.25">
      <c r="A56" s="1" t="s">
        <v>56</v>
      </c>
      <c r="B56" s="8">
        <v>21.367799999999999</v>
      </c>
      <c r="C56" s="9">
        <v>26.2</v>
      </c>
      <c r="D56" s="9">
        <v>25.5</v>
      </c>
      <c r="E56" s="9">
        <v>22.3</v>
      </c>
      <c r="F56" s="9">
        <v>20.5</v>
      </c>
      <c r="G56" s="9">
        <v>18.399999999999999</v>
      </c>
      <c r="H56" s="9">
        <v>17</v>
      </c>
    </row>
    <row r="57" spans="1:8" x14ac:dyDescent="0.25">
      <c r="A57" s="1" t="s">
        <v>57</v>
      </c>
      <c r="B57" s="8" t="s">
        <v>18</v>
      </c>
      <c r="C57" s="9" t="s">
        <v>18</v>
      </c>
      <c r="D57" s="9" t="s">
        <v>18</v>
      </c>
      <c r="E57" s="9" t="s">
        <v>18</v>
      </c>
      <c r="F57" s="9" t="s">
        <v>18</v>
      </c>
      <c r="G57" s="9" t="s">
        <v>18</v>
      </c>
      <c r="H57" s="9" t="s">
        <v>18</v>
      </c>
    </row>
    <row r="58" spans="1:8" x14ac:dyDescent="0.25">
      <c r="A58" s="1" t="s">
        <v>58</v>
      </c>
      <c r="B58" s="8" t="s">
        <v>18</v>
      </c>
      <c r="C58" s="9" t="s">
        <v>18</v>
      </c>
      <c r="D58" s="9" t="s">
        <v>18</v>
      </c>
      <c r="E58" s="9" t="s">
        <v>18</v>
      </c>
      <c r="F58" s="9" t="s">
        <v>18</v>
      </c>
      <c r="G58" s="9" t="s">
        <v>18</v>
      </c>
      <c r="H58" s="9" t="s">
        <v>18</v>
      </c>
    </row>
    <row r="59" spans="1:8" x14ac:dyDescent="0.25">
      <c r="A59" s="1" t="s">
        <v>59</v>
      </c>
      <c r="B59" s="8" t="s">
        <v>18</v>
      </c>
      <c r="C59" s="9" t="s">
        <v>18</v>
      </c>
      <c r="D59" s="9" t="s">
        <v>18</v>
      </c>
      <c r="E59" s="9" t="s">
        <v>18</v>
      </c>
      <c r="F59" s="9" t="s">
        <v>18</v>
      </c>
      <c r="G59" s="9" t="s">
        <v>18</v>
      </c>
      <c r="H59" s="9" t="s">
        <v>18</v>
      </c>
    </row>
    <row r="60" spans="1:8" x14ac:dyDescent="0.25">
      <c r="A60" s="1" t="s">
        <v>60</v>
      </c>
      <c r="B60" s="8" t="s">
        <v>18</v>
      </c>
      <c r="C60" s="9" t="s">
        <v>18</v>
      </c>
      <c r="D60" s="9" t="s">
        <v>18</v>
      </c>
      <c r="E60" s="9" t="s">
        <v>18</v>
      </c>
      <c r="F60" s="9" t="s">
        <v>18</v>
      </c>
      <c r="G60" s="9" t="s">
        <v>18</v>
      </c>
      <c r="H60" s="9" t="s">
        <v>18</v>
      </c>
    </row>
    <row r="61" spans="1:8" x14ac:dyDescent="0.25">
      <c r="A61" s="1" t="s">
        <v>61</v>
      </c>
      <c r="B61" s="8" t="s">
        <v>18</v>
      </c>
      <c r="C61" s="9" t="s">
        <v>18</v>
      </c>
      <c r="D61" s="9" t="s">
        <v>18</v>
      </c>
      <c r="E61" s="9" t="s">
        <v>18</v>
      </c>
      <c r="F61" s="9" t="s">
        <v>18</v>
      </c>
      <c r="G61" s="9" t="s">
        <v>18</v>
      </c>
      <c r="H61" s="9" t="s">
        <v>18</v>
      </c>
    </row>
    <row r="62" spans="1:8" x14ac:dyDescent="0.25">
      <c r="A62" s="1" t="s">
        <v>62</v>
      </c>
      <c r="B62" s="8">
        <v>1.51566</v>
      </c>
      <c r="C62" s="9">
        <v>2</v>
      </c>
      <c r="D62" s="9">
        <v>2</v>
      </c>
      <c r="E62" s="9">
        <v>1.9</v>
      </c>
      <c r="F62" s="9">
        <v>1.7</v>
      </c>
      <c r="G62" s="9">
        <v>1.6</v>
      </c>
      <c r="H62" s="9">
        <v>1.6</v>
      </c>
    </row>
    <row r="63" spans="1:8" x14ac:dyDescent="0.25">
      <c r="A63" s="1" t="s">
        <v>63</v>
      </c>
      <c r="B63" s="8" t="s">
        <v>18</v>
      </c>
      <c r="C63" s="9" t="s">
        <v>18</v>
      </c>
      <c r="D63" s="9" t="s">
        <v>18</v>
      </c>
      <c r="E63" s="9" t="s">
        <v>18</v>
      </c>
      <c r="F63" s="9" t="s">
        <v>18</v>
      </c>
      <c r="G63" s="9" t="s">
        <v>18</v>
      </c>
      <c r="H63" s="9" t="s">
        <v>18</v>
      </c>
    </row>
    <row r="64" spans="1:8" x14ac:dyDescent="0.25">
      <c r="A64" s="1" t="s">
        <v>64</v>
      </c>
      <c r="B64" s="8" t="s">
        <v>18</v>
      </c>
      <c r="C64" s="9" t="s">
        <v>18</v>
      </c>
      <c r="D64" s="9" t="s">
        <v>18</v>
      </c>
      <c r="E64" s="9" t="s">
        <v>18</v>
      </c>
      <c r="F64" s="9" t="s">
        <v>18</v>
      </c>
      <c r="G64" s="9" t="s">
        <v>18</v>
      </c>
      <c r="H64" s="9" t="s">
        <v>18</v>
      </c>
    </row>
    <row r="65" spans="1:8" x14ac:dyDescent="0.25">
      <c r="A65" s="1" t="s">
        <v>65</v>
      </c>
      <c r="B65" s="8" t="s">
        <v>18</v>
      </c>
      <c r="C65" s="9" t="s">
        <v>18</v>
      </c>
      <c r="D65" s="9" t="s">
        <v>18</v>
      </c>
      <c r="E65" s="9" t="s">
        <v>18</v>
      </c>
      <c r="F65" s="9" t="s">
        <v>18</v>
      </c>
      <c r="G65" s="9" t="s">
        <v>18</v>
      </c>
      <c r="H65" s="9" t="s">
        <v>18</v>
      </c>
    </row>
    <row r="66" spans="1:8" x14ac:dyDescent="0.25">
      <c r="A66" s="1" t="s">
        <v>66</v>
      </c>
      <c r="B66" s="8" t="s">
        <v>18</v>
      </c>
      <c r="C66" s="9" t="s">
        <v>18</v>
      </c>
      <c r="D66" s="9" t="s">
        <v>18</v>
      </c>
      <c r="E66" s="9" t="s">
        <v>18</v>
      </c>
      <c r="F66" s="9" t="s">
        <v>18</v>
      </c>
      <c r="G66" s="9" t="s">
        <v>18</v>
      </c>
      <c r="H66" s="9" t="s">
        <v>18</v>
      </c>
    </row>
    <row r="67" spans="1:8" x14ac:dyDescent="0.25">
      <c r="A67" s="1" t="s">
        <v>67</v>
      </c>
      <c r="B67" s="8" t="s">
        <v>18</v>
      </c>
      <c r="C67" s="9" t="s">
        <v>18</v>
      </c>
      <c r="D67" s="9" t="s">
        <v>18</v>
      </c>
      <c r="E67" s="9" t="s">
        <v>18</v>
      </c>
      <c r="F67" s="9" t="s">
        <v>18</v>
      </c>
      <c r="G67" s="9" t="s">
        <v>18</v>
      </c>
      <c r="H67" s="9" t="s">
        <v>18</v>
      </c>
    </row>
    <row r="68" spans="1:8" x14ac:dyDescent="0.25">
      <c r="A68" s="1" t="s">
        <v>68</v>
      </c>
      <c r="B68" s="8">
        <v>12.2653</v>
      </c>
      <c r="C68" s="9">
        <v>13.995799999999999</v>
      </c>
      <c r="D68" s="9">
        <v>15.2095</v>
      </c>
      <c r="E68" s="9">
        <v>16.211400000000001</v>
      </c>
      <c r="F68" s="9">
        <v>16.649799999999999</v>
      </c>
      <c r="G68" s="9">
        <v>17.623999999999999</v>
      </c>
      <c r="H68" s="9">
        <v>18.5</v>
      </c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20"/>
  <sheetViews>
    <sheetView workbookViewId="0">
      <selection activeCell="C8" sqref="C8"/>
    </sheetView>
  </sheetViews>
  <sheetFormatPr defaultRowHeight="15" x14ac:dyDescent="0.25"/>
  <cols>
    <col min="3" max="7" width="15.7109375" customWidth="1"/>
  </cols>
  <sheetData>
    <row r="3" spans="3:13" x14ac:dyDescent="0.25">
      <c r="C3" s="92" t="s">
        <v>146</v>
      </c>
      <c r="D3" s="92"/>
      <c r="E3" s="92"/>
      <c r="F3" s="92"/>
      <c r="G3" s="92"/>
    </row>
    <row r="6" spans="3:13" x14ac:dyDescent="0.25">
      <c r="C6" s="26" t="s">
        <v>147</v>
      </c>
      <c r="D6" s="26" t="s">
        <v>148</v>
      </c>
      <c r="E6" s="26" t="s">
        <v>149</v>
      </c>
    </row>
    <row r="7" spans="3:13" x14ac:dyDescent="0.25">
      <c r="C7" s="27">
        <v>40700000</v>
      </c>
      <c r="D7" s="28">
        <f>MAX(G13:G20)</f>
        <v>14244999.989999998</v>
      </c>
      <c r="E7" s="29">
        <f>D7/C7</f>
        <v>0.34999999975429974</v>
      </c>
    </row>
    <row r="9" spans="3:13" x14ac:dyDescent="0.25">
      <c r="C9" s="27"/>
      <c r="D9" s="27"/>
      <c r="E9" s="27"/>
      <c r="F9" s="30"/>
      <c r="G9" s="28"/>
    </row>
    <row r="10" spans="3:13" x14ac:dyDescent="0.25">
      <c r="C10" s="27"/>
      <c r="D10" s="27"/>
      <c r="E10" s="27"/>
      <c r="F10" s="27"/>
      <c r="G10" s="27"/>
    </row>
    <row r="11" spans="3:13" ht="30" x14ac:dyDescent="0.25">
      <c r="C11" s="31" t="s">
        <v>150</v>
      </c>
      <c r="D11" s="31" t="s">
        <v>151</v>
      </c>
      <c r="E11" s="31" t="s">
        <v>152</v>
      </c>
      <c r="F11" s="31" t="s">
        <v>153</v>
      </c>
      <c r="G11" s="31" t="s">
        <v>154</v>
      </c>
      <c r="K11" s="26" t="s">
        <v>155</v>
      </c>
      <c r="L11" s="26" t="s">
        <v>152</v>
      </c>
      <c r="M11" s="26" t="s">
        <v>156</v>
      </c>
    </row>
    <row r="12" spans="3:13" x14ac:dyDescent="0.25">
      <c r="J12" s="21">
        <v>2015</v>
      </c>
      <c r="K12" s="8">
        <v>42.211500000000001</v>
      </c>
      <c r="L12">
        <v>0.35</v>
      </c>
      <c r="M12" s="28">
        <f>K12*L12</f>
        <v>14.774025</v>
      </c>
    </row>
    <row r="13" spans="3:13" x14ac:dyDescent="0.25">
      <c r="C13" s="32">
        <v>0</v>
      </c>
      <c r="D13" s="32">
        <v>50000</v>
      </c>
      <c r="E13">
        <v>0.15</v>
      </c>
      <c r="F13" s="28">
        <f>IF(C7&gt;=D13, D13*E13, C$7*E13)</f>
        <v>7500</v>
      </c>
      <c r="G13" s="28">
        <f>F13</f>
        <v>7500</v>
      </c>
      <c r="J13" s="21">
        <v>2016</v>
      </c>
      <c r="K13" s="9">
        <v>69.2667</v>
      </c>
      <c r="L13">
        <v>0.35</v>
      </c>
      <c r="M13" s="28">
        <f>K13*L13</f>
        <v>24.243344999999998</v>
      </c>
    </row>
    <row r="14" spans="3:13" x14ac:dyDescent="0.25">
      <c r="C14" s="32">
        <v>50001</v>
      </c>
      <c r="D14" s="32">
        <v>75000</v>
      </c>
      <c r="E14">
        <v>0.25</v>
      </c>
      <c r="F14" s="28">
        <f t="shared" ref="F14:F19" si="0">IF(C$7&gt;=D14, ((D14-C14+1)*E14), IF(C$7 &lt; C14, 0, (C$7-C14+1)*E14))</f>
        <v>6250</v>
      </c>
      <c r="G14" s="28">
        <f>G13+F14</f>
        <v>13750</v>
      </c>
      <c r="J14" s="21">
        <f>J13+1</f>
        <v>2017</v>
      </c>
      <c r="K14" s="9">
        <v>81</v>
      </c>
      <c r="L14">
        <v>0.35</v>
      </c>
      <c r="M14" s="28">
        <f t="shared" ref="M14:M17" si="1">K14*L14</f>
        <v>28.349999999999998</v>
      </c>
    </row>
    <row r="15" spans="3:13" x14ac:dyDescent="0.25">
      <c r="C15" s="32">
        <v>75001</v>
      </c>
      <c r="D15" s="32">
        <v>100000</v>
      </c>
      <c r="E15">
        <v>0.34</v>
      </c>
      <c r="F15" s="28">
        <f t="shared" si="0"/>
        <v>8500</v>
      </c>
      <c r="G15" s="28">
        <f t="shared" ref="G15:G20" si="2">G14+F15</f>
        <v>22250</v>
      </c>
      <c r="J15" s="21">
        <f t="shared" ref="J15:J17" si="3">J14+1</f>
        <v>2018</v>
      </c>
      <c r="K15" s="9">
        <v>91.69</v>
      </c>
      <c r="L15">
        <v>0.35</v>
      </c>
      <c r="M15" s="28">
        <f t="shared" si="1"/>
        <v>32.091499999999996</v>
      </c>
    </row>
    <row r="16" spans="3:13" x14ac:dyDescent="0.25">
      <c r="C16" s="32">
        <v>100001</v>
      </c>
      <c r="D16" s="32">
        <v>335000</v>
      </c>
      <c r="E16">
        <v>0.39</v>
      </c>
      <c r="F16" s="28">
        <f t="shared" si="0"/>
        <v>91650</v>
      </c>
      <c r="G16" s="28">
        <f t="shared" si="2"/>
        <v>113900</v>
      </c>
      <c r="J16" s="21">
        <f t="shared" si="3"/>
        <v>2019</v>
      </c>
      <c r="K16" s="9">
        <v>91.1</v>
      </c>
      <c r="L16">
        <v>0.35</v>
      </c>
      <c r="M16" s="28">
        <f t="shared" si="1"/>
        <v>31.884999999999994</v>
      </c>
    </row>
    <row r="17" spans="3:13" x14ac:dyDescent="0.25">
      <c r="C17" s="32">
        <v>335001</v>
      </c>
      <c r="D17" s="32">
        <v>10000000</v>
      </c>
      <c r="E17">
        <v>0.34</v>
      </c>
      <c r="F17" s="28">
        <f t="shared" si="0"/>
        <v>3286100.0000000005</v>
      </c>
      <c r="G17" s="28">
        <f t="shared" si="2"/>
        <v>3400000.0000000005</v>
      </c>
      <c r="J17" s="21">
        <f t="shared" si="3"/>
        <v>2020</v>
      </c>
      <c r="K17" s="9">
        <v>100.3</v>
      </c>
      <c r="L17">
        <v>0.35</v>
      </c>
      <c r="M17" s="28">
        <f t="shared" si="1"/>
        <v>35.104999999999997</v>
      </c>
    </row>
    <row r="18" spans="3:13" x14ac:dyDescent="0.25">
      <c r="C18" s="32">
        <v>10000001</v>
      </c>
      <c r="D18" s="32">
        <v>15000000</v>
      </c>
      <c r="E18">
        <v>0.35</v>
      </c>
      <c r="F18" s="28">
        <f t="shared" si="0"/>
        <v>1750000</v>
      </c>
      <c r="G18" s="28">
        <f t="shared" si="2"/>
        <v>5150000</v>
      </c>
    </row>
    <row r="19" spans="3:13" x14ac:dyDescent="0.25">
      <c r="C19" s="32">
        <v>15000001</v>
      </c>
      <c r="D19" s="32">
        <v>18333333</v>
      </c>
      <c r="E19">
        <v>0.38</v>
      </c>
      <c r="F19" s="28">
        <f t="shared" si="0"/>
        <v>1266666.54</v>
      </c>
      <c r="G19" s="28">
        <f t="shared" si="2"/>
        <v>6416666.54</v>
      </c>
    </row>
    <row r="20" spans="3:13" x14ac:dyDescent="0.25">
      <c r="C20" s="32">
        <v>18333334</v>
      </c>
      <c r="E20">
        <v>0.35</v>
      </c>
      <c r="F20" s="28">
        <f>IF(C$7&gt;C20, ((C$7-C20+1)*E20), 0)</f>
        <v>7828333.4499999993</v>
      </c>
      <c r="G20" s="28">
        <f t="shared" si="2"/>
        <v>14244999.989999998</v>
      </c>
    </row>
  </sheetData>
  <mergeCells count="1">
    <mergeCell ref="C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71"/>
  <sheetViews>
    <sheetView topLeftCell="A10" zoomScale="80" zoomScaleNormal="80" workbookViewId="0">
      <selection activeCell="P28" sqref="P28"/>
    </sheetView>
  </sheetViews>
  <sheetFormatPr defaultRowHeight="15" x14ac:dyDescent="0.25"/>
  <cols>
    <col min="4" max="4" width="10.7109375" customWidth="1"/>
    <col min="5" max="5" width="12.7109375" customWidth="1"/>
    <col min="6" max="6" width="12.42578125" bestFit="1" customWidth="1"/>
    <col min="7" max="7" width="12.140625" bestFit="1" customWidth="1"/>
    <col min="8" max="8" width="12.140625" customWidth="1"/>
    <col min="9" max="9" width="12.42578125" bestFit="1" customWidth="1"/>
    <col min="10" max="10" width="10.140625" bestFit="1" customWidth="1"/>
    <col min="11" max="11" width="10.42578125" bestFit="1" customWidth="1"/>
    <col min="12" max="12" width="12" bestFit="1" customWidth="1"/>
    <col min="13" max="14" width="10.7109375" bestFit="1" customWidth="1"/>
    <col min="16" max="16" width="10.5703125" bestFit="1" customWidth="1"/>
    <col min="17" max="17" width="11.5703125" bestFit="1" customWidth="1"/>
  </cols>
  <sheetData>
    <row r="2" spans="1:21" ht="23.25" x14ac:dyDescent="0.35">
      <c r="C2" s="94" t="s">
        <v>186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21" x14ac:dyDescent="0.25">
      <c r="C3" s="92" t="s">
        <v>210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21" x14ac:dyDescent="0.25">
      <c r="C4" s="92" t="s">
        <v>185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6" spans="1:2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58">
        <v>2016</v>
      </c>
      <c r="M6" s="58">
        <v>2015</v>
      </c>
      <c r="N6" s="58">
        <v>2014</v>
      </c>
      <c r="O6" s="34"/>
      <c r="P6" s="34"/>
      <c r="Q6" s="34"/>
    </row>
    <row r="7" spans="1:21" x14ac:dyDescent="0.25">
      <c r="A7" s="34"/>
      <c r="B7" s="34"/>
      <c r="C7" s="34"/>
      <c r="D7" s="35" t="s">
        <v>224</v>
      </c>
      <c r="E7" s="35">
        <v>2016</v>
      </c>
      <c r="F7" s="35"/>
      <c r="G7" s="34"/>
      <c r="H7" s="59"/>
      <c r="I7" s="96" t="s">
        <v>187</v>
      </c>
      <c r="J7" s="96"/>
      <c r="K7" s="96"/>
      <c r="L7" s="59">
        <v>25.819500000000001</v>
      </c>
      <c r="M7" s="60">
        <v>18.067299999999999</v>
      </c>
      <c r="N7" s="60">
        <v>15.4419</v>
      </c>
      <c r="O7" s="34"/>
      <c r="P7" s="34"/>
      <c r="Q7" s="77"/>
      <c r="R7" s="77"/>
      <c r="S7" s="77"/>
      <c r="T7" s="77"/>
      <c r="U7" s="77"/>
    </row>
    <row r="8" spans="1:21" ht="17.25" x14ac:dyDescent="0.25">
      <c r="A8" s="34"/>
      <c r="B8" s="34"/>
      <c r="C8" s="36"/>
      <c r="D8" s="38" t="s">
        <v>181</v>
      </c>
      <c r="E8" s="37">
        <f>L13</f>
        <v>7.8717999999999996E-2</v>
      </c>
      <c r="F8" s="34"/>
      <c r="G8" s="36"/>
      <c r="H8" s="96" t="s">
        <v>180</v>
      </c>
      <c r="I8" s="96"/>
      <c r="J8" s="96"/>
      <c r="K8" s="96"/>
      <c r="L8" s="61">
        <v>44.65</v>
      </c>
      <c r="M8" s="62">
        <v>44.6</v>
      </c>
      <c r="N8" s="62">
        <v>43.61</v>
      </c>
      <c r="O8" s="36"/>
      <c r="P8" s="36"/>
      <c r="Q8" s="77"/>
      <c r="R8" s="77"/>
      <c r="S8" s="77"/>
      <c r="T8" s="77"/>
      <c r="U8" s="77"/>
    </row>
    <row r="9" spans="1:21" ht="17.25" x14ac:dyDescent="0.25">
      <c r="A9" s="34"/>
      <c r="B9" s="34"/>
      <c r="C9" s="36"/>
      <c r="D9" s="26" t="s">
        <v>218</v>
      </c>
      <c r="E9" s="57">
        <f>(N20-N19+H20)/E20</f>
        <v>4.5061057755469358</v>
      </c>
      <c r="F9" s="34"/>
      <c r="G9" s="36"/>
      <c r="H9" s="61"/>
      <c r="I9" s="96" t="s">
        <v>184</v>
      </c>
      <c r="J9" s="96"/>
      <c r="K9" s="96"/>
      <c r="L9" s="60">
        <f>L7*L8</f>
        <v>1152.8406749999999</v>
      </c>
      <c r="M9" s="60">
        <f>M7*M8</f>
        <v>805.80158000000006</v>
      </c>
      <c r="N9" s="60">
        <f>N7*N8</f>
        <v>673.42125899999996</v>
      </c>
      <c r="O9" s="36"/>
      <c r="P9" s="36"/>
      <c r="Q9" s="77"/>
      <c r="R9" s="77"/>
      <c r="S9" s="77"/>
      <c r="T9" s="77"/>
      <c r="U9" s="77"/>
    </row>
    <row r="10" spans="1:21" ht="17.25" x14ac:dyDescent="0.25">
      <c r="A10" s="34"/>
      <c r="B10" s="34"/>
      <c r="C10" s="36"/>
      <c r="D10" s="26" t="s">
        <v>219</v>
      </c>
      <c r="E10" s="57">
        <f>E9*O20</f>
        <v>0.23692631087235783</v>
      </c>
      <c r="F10" s="34"/>
      <c r="G10" s="36"/>
      <c r="H10" s="61"/>
      <c r="I10" s="61"/>
      <c r="J10" s="63"/>
      <c r="K10" s="64" t="s">
        <v>188</v>
      </c>
      <c r="L10" s="61">
        <v>353.7</v>
      </c>
      <c r="M10" s="60">
        <v>224.72</v>
      </c>
      <c r="N10" s="60">
        <v>311.91000000000003</v>
      </c>
      <c r="O10" s="36"/>
      <c r="P10" s="36"/>
      <c r="Q10" s="77"/>
      <c r="R10" s="77"/>
      <c r="S10" s="77"/>
      <c r="T10" s="77"/>
      <c r="U10" s="77"/>
    </row>
    <row r="11" spans="1:21" ht="18.75" x14ac:dyDescent="0.35">
      <c r="A11" s="34"/>
      <c r="B11" s="34"/>
      <c r="C11" s="36"/>
      <c r="D11" s="38" t="s">
        <v>222</v>
      </c>
      <c r="E11" s="37">
        <f>((D25-D18)/D18)/(C25-C18)</f>
        <v>0.34152334152334152</v>
      </c>
      <c r="F11" s="34"/>
      <c r="G11" s="36"/>
      <c r="H11" s="61"/>
      <c r="I11" s="61"/>
      <c r="J11" s="63"/>
      <c r="K11" s="64" t="s">
        <v>189</v>
      </c>
      <c r="L11" s="61">
        <v>19.170000000000002</v>
      </c>
      <c r="M11" s="60">
        <v>4.18</v>
      </c>
      <c r="N11" s="60">
        <v>7.36</v>
      </c>
      <c r="O11" s="36"/>
      <c r="P11" s="36"/>
      <c r="Q11" s="77"/>
      <c r="R11" s="77"/>
      <c r="S11" s="77"/>
      <c r="T11" s="77"/>
      <c r="U11" s="77"/>
    </row>
    <row r="12" spans="1:21" ht="17.25" x14ac:dyDescent="0.25">
      <c r="A12" s="34"/>
      <c r="B12" s="34"/>
      <c r="C12" s="36"/>
      <c r="D12" s="35"/>
      <c r="E12" s="36"/>
      <c r="F12" s="34"/>
      <c r="G12" s="36"/>
      <c r="H12" s="61"/>
      <c r="I12" s="61"/>
      <c r="J12" s="63"/>
      <c r="K12" s="64" t="s">
        <v>190</v>
      </c>
      <c r="L12" s="81">
        <f>L$9+L$10-L$11</f>
        <v>1487.3706749999999</v>
      </c>
      <c r="M12" s="81">
        <f>M$9+M$10-M$11</f>
        <v>1026.34158</v>
      </c>
      <c r="N12" s="81">
        <f>N$9+N$10-N$11</f>
        <v>977.97125900000003</v>
      </c>
      <c r="O12" s="36"/>
      <c r="P12" s="36"/>
      <c r="Q12" s="77"/>
      <c r="R12" s="77"/>
      <c r="S12" s="77"/>
      <c r="T12" s="77"/>
      <c r="U12" s="77"/>
    </row>
    <row r="13" spans="1:21" ht="18.75" x14ac:dyDescent="0.35">
      <c r="A13" s="34"/>
      <c r="B13" s="34"/>
      <c r="C13" s="36"/>
      <c r="D13" s="38" t="s">
        <v>158</v>
      </c>
      <c r="E13" s="34">
        <v>30</v>
      </c>
      <c r="F13" s="95" t="s">
        <v>175</v>
      </c>
      <c r="G13" s="95"/>
      <c r="H13" s="65">
        <f>((1-E14)*(1-$E$10/$O$20))/($E$8-$E$10)</f>
        <v>14.404861170309669</v>
      </c>
      <c r="I13" s="66"/>
      <c r="J13" s="59"/>
      <c r="K13" s="64" t="s">
        <v>181</v>
      </c>
      <c r="L13" s="37">
        <v>7.8717999999999996E-2</v>
      </c>
      <c r="M13" s="37">
        <v>6.9540000000000005E-2</v>
      </c>
      <c r="N13" s="37">
        <v>8.4112000000000006E-2</v>
      </c>
      <c r="O13" s="36"/>
      <c r="P13" s="36"/>
      <c r="Q13" s="77"/>
      <c r="R13" s="77"/>
      <c r="S13" s="77"/>
      <c r="T13" s="77"/>
      <c r="U13" s="77"/>
    </row>
    <row r="14" spans="1:21" x14ac:dyDescent="0.25">
      <c r="A14" s="34"/>
      <c r="B14" s="34"/>
      <c r="C14" s="36"/>
      <c r="D14" s="35" t="s">
        <v>152</v>
      </c>
      <c r="E14" s="40">
        <v>0.35</v>
      </c>
      <c r="F14" s="34"/>
      <c r="G14" s="40"/>
      <c r="H14" s="40"/>
      <c r="I14" s="52"/>
      <c r="J14" s="36"/>
      <c r="K14" s="36"/>
      <c r="L14" s="36"/>
      <c r="M14" s="36"/>
      <c r="N14" s="36"/>
      <c r="O14" s="36"/>
      <c r="P14" s="36"/>
      <c r="Q14" s="34"/>
    </row>
    <row r="15" spans="1:21" x14ac:dyDescent="0.25">
      <c r="A15" s="34"/>
      <c r="B15" s="34"/>
      <c r="C15" s="36"/>
      <c r="D15" s="35"/>
      <c r="E15" s="40"/>
      <c r="F15" s="34"/>
      <c r="G15" s="40"/>
      <c r="H15" s="40"/>
      <c r="I15" s="36"/>
      <c r="J15" s="36"/>
      <c r="K15" s="36"/>
      <c r="L15" s="81"/>
      <c r="M15" s="81"/>
      <c r="N15" s="81"/>
      <c r="O15" s="36"/>
      <c r="P15" s="36"/>
      <c r="Q15" s="34"/>
    </row>
    <row r="16" spans="1:21" x14ac:dyDescent="0.25">
      <c r="A16" s="34"/>
      <c r="B16" s="34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4"/>
    </row>
    <row r="17" spans="1:30" ht="30" x14ac:dyDescent="0.25">
      <c r="A17" s="34"/>
      <c r="B17" s="34"/>
      <c r="C17" s="38" t="s">
        <v>159</v>
      </c>
      <c r="D17" s="41" t="s">
        <v>155</v>
      </c>
      <c r="E17" s="38" t="s">
        <v>206</v>
      </c>
      <c r="F17" s="41" t="s">
        <v>161</v>
      </c>
      <c r="G17" s="41" t="s">
        <v>156</v>
      </c>
      <c r="H17" s="41" t="s">
        <v>88</v>
      </c>
      <c r="I17" s="41" t="s">
        <v>177</v>
      </c>
      <c r="J17" s="41" t="s">
        <v>178</v>
      </c>
      <c r="K17" s="41" t="s">
        <v>163</v>
      </c>
      <c r="L17" s="41" t="s">
        <v>164</v>
      </c>
      <c r="M17" s="41" t="s">
        <v>165</v>
      </c>
      <c r="N17" s="41" t="s">
        <v>225</v>
      </c>
      <c r="O17" s="41" t="s">
        <v>204</v>
      </c>
      <c r="P17" s="41" t="s">
        <v>179</v>
      </c>
      <c r="Q17" s="41" t="s">
        <v>166</v>
      </c>
    </row>
    <row r="18" spans="1:30" x14ac:dyDescent="0.25">
      <c r="A18" s="34"/>
      <c r="B18" s="34"/>
      <c r="C18" s="43">
        <v>2014</v>
      </c>
      <c r="D18" s="73">
        <v>40.700000000000003</v>
      </c>
      <c r="E18" s="44">
        <f t="shared" ref="E18:E25" si="0">D18*(1-$E$14)</f>
        <v>26.455000000000002</v>
      </c>
      <c r="F18" s="73">
        <v>31.1</v>
      </c>
      <c r="G18" s="73">
        <v>8.6</v>
      </c>
      <c r="H18" s="73">
        <f>21.03+14.9</f>
        <v>35.93</v>
      </c>
      <c r="I18" s="73"/>
      <c r="J18" s="73">
        <v>8.83</v>
      </c>
      <c r="K18" s="73">
        <v>554.83000000000004</v>
      </c>
      <c r="L18" s="55">
        <v>192.34</v>
      </c>
      <c r="M18" s="55">
        <v>75.430000000000007</v>
      </c>
      <c r="N18" s="45">
        <f>K18+(L18-M18)</f>
        <v>671.74</v>
      </c>
      <c r="O18" s="46">
        <f>E18/N18</f>
        <v>3.938279691547325E-2</v>
      </c>
      <c r="P18" s="55">
        <f>N12</f>
        <v>977.97125900000003</v>
      </c>
      <c r="Q18" s="47">
        <f>P18/D18</f>
        <v>24.028777862407861</v>
      </c>
    </row>
    <row r="19" spans="1:30" x14ac:dyDescent="0.25">
      <c r="A19" s="34"/>
      <c r="C19" s="43">
        <v>2015</v>
      </c>
      <c r="D19" s="73">
        <v>38.619999999999997</v>
      </c>
      <c r="E19" s="44">
        <f t="shared" si="0"/>
        <v>25.102999999999998</v>
      </c>
      <c r="F19" s="73">
        <v>31.43</v>
      </c>
      <c r="G19" s="73">
        <v>7.4</v>
      </c>
      <c r="H19" s="73">
        <f>22.63+14.8</f>
        <v>37.43</v>
      </c>
      <c r="I19" s="73">
        <v>17.649999999999999</v>
      </c>
      <c r="J19" s="74">
        <v>6.23</v>
      </c>
      <c r="K19" s="73">
        <v>574.73</v>
      </c>
      <c r="L19" s="55">
        <v>204</v>
      </c>
      <c r="M19" s="55">
        <v>87.91</v>
      </c>
      <c r="N19" s="45">
        <f>K19+(L19-M19)</f>
        <v>690.82</v>
      </c>
      <c r="O19" s="46">
        <f>E19/N19</f>
        <v>3.6337975159954829E-2</v>
      </c>
      <c r="P19" s="55">
        <f>M12</f>
        <v>1026.34158</v>
      </c>
      <c r="Q19" s="47">
        <f>P19/D19</f>
        <v>26.575390471258416</v>
      </c>
      <c r="T19" s="79"/>
      <c r="U19" s="80"/>
      <c r="V19" s="80"/>
      <c r="W19" s="80"/>
      <c r="X19" s="80"/>
      <c r="Y19" s="80"/>
      <c r="Z19" s="80"/>
      <c r="AA19" s="80"/>
      <c r="AB19" s="80"/>
      <c r="AC19" s="80"/>
      <c r="AD19" s="80"/>
    </row>
    <row r="20" spans="1:30" x14ac:dyDescent="0.25">
      <c r="A20" s="34"/>
      <c r="B20" s="42" t="s">
        <v>157</v>
      </c>
      <c r="C20" s="48">
        <v>2016</v>
      </c>
      <c r="D20" s="74">
        <v>69.2667</v>
      </c>
      <c r="E20" s="44">
        <f t="shared" si="0"/>
        <v>45.023355000000002</v>
      </c>
      <c r="F20" s="74">
        <v>61.0867</v>
      </c>
      <c r="G20" s="74">
        <v>15.563000000000001</v>
      </c>
      <c r="H20" s="74">
        <v>37.4</v>
      </c>
      <c r="I20" s="74">
        <v>16.231999999999999</v>
      </c>
      <c r="J20" s="74">
        <v>3.8133000000000052</v>
      </c>
      <c r="K20" s="45">
        <v>701.2</v>
      </c>
      <c r="L20" s="45">
        <v>243.43</v>
      </c>
      <c r="M20" s="45">
        <v>88.33</v>
      </c>
      <c r="N20" s="45">
        <f>K20+(L20-M20)</f>
        <v>856.30000000000007</v>
      </c>
      <c r="O20" s="46">
        <f>E20/N20</f>
        <v>5.2578950134298724E-2</v>
      </c>
      <c r="P20" s="45">
        <f>L12</f>
        <v>1487.3706749999999</v>
      </c>
      <c r="Q20" s="49">
        <f>P20/D20</f>
        <v>21.473098545188378</v>
      </c>
    </row>
    <row r="21" spans="1:30" x14ac:dyDescent="0.25">
      <c r="A21" s="34"/>
      <c r="B21" s="34">
        <v>1</v>
      </c>
      <c r="C21" s="48">
        <f t="shared" ref="C21:C24" si="1">C20+1</f>
        <v>2017</v>
      </c>
      <c r="D21" s="74">
        <v>81</v>
      </c>
      <c r="E21" s="44">
        <f t="shared" si="0"/>
        <v>52.65</v>
      </c>
      <c r="F21" s="74">
        <v>72.52</v>
      </c>
      <c r="G21" s="74">
        <v>19.155799999999999</v>
      </c>
      <c r="H21" s="74">
        <v>42.8</v>
      </c>
      <c r="I21" s="74">
        <v>38.243000000000002</v>
      </c>
      <c r="J21" s="74">
        <v>3.0799999999999983</v>
      </c>
      <c r="K21" s="45"/>
      <c r="L21" s="45"/>
      <c r="M21" s="45"/>
      <c r="N21" s="45"/>
      <c r="O21" s="46"/>
      <c r="P21" s="45"/>
      <c r="Q21" s="49"/>
    </row>
    <row r="22" spans="1:30" x14ac:dyDescent="0.25">
      <c r="A22" s="34"/>
      <c r="B22" s="34">
        <v>2</v>
      </c>
      <c r="C22" s="48">
        <f t="shared" si="1"/>
        <v>2018</v>
      </c>
      <c r="D22" s="74">
        <v>91.69</v>
      </c>
      <c r="E22" s="44">
        <f t="shared" si="0"/>
        <v>59.598500000000001</v>
      </c>
      <c r="F22" s="74">
        <v>83.366699999999994</v>
      </c>
      <c r="G22" s="74">
        <v>22.471</v>
      </c>
      <c r="H22" s="74">
        <v>45</v>
      </c>
      <c r="I22" s="74">
        <v>46.924999999999997</v>
      </c>
      <c r="J22" s="74">
        <v>-1.3666999999999945</v>
      </c>
      <c r="K22" s="45"/>
      <c r="L22" s="45"/>
      <c r="M22" s="45"/>
      <c r="N22" s="45"/>
      <c r="O22" s="46"/>
      <c r="P22" s="45"/>
      <c r="Q22" s="49"/>
    </row>
    <row r="23" spans="1:30" x14ac:dyDescent="0.25">
      <c r="A23" s="34"/>
      <c r="B23" s="34">
        <v>3</v>
      </c>
      <c r="C23" s="48">
        <f t="shared" si="1"/>
        <v>2019</v>
      </c>
      <c r="D23" s="74">
        <v>91.1</v>
      </c>
      <c r="E23" s="44">
        <f t="shared" si="0"/>
        <v>59.214999999999996</v>
      </c>
      <c r="F23" s="74">
        <v>82.3</v>
      </c>
      <c r="G23" s="74">
        <v>24.7</v>
      </c>
      <c r="H23" s="74">
        <v>46.5</v>
      </c>
      <c r="I23" s="75">
        <v>59.7</v>
      </c>
      <c r="J23" s="74">
        <v>8.7999999999999972</v>
      </c>
      <c r="K23" s="45"/>
      <c r="L23" s="45"/>
      <c r="M23" s="45"/>
      <c r="N23" s="45"/>
      <c r="O23" s="46"/>
      <c r="P23" s="44"/>
      <c r="Q23" s="49"/>
    </row>
    <row r="24" spans="1:30" x14ac:dyDescent="0.25">
      <c r="A24" s="34"/>
      <c r="B24" s="34">
        <v>4</v>
      </c>
      <c r="C24" s="48">
        <f t="shared" si="1"/>
        <v>2020</v>
      </c>
      <c r="D24" s="74">
        <v>100.3</v>
      </c>
      <c r="E24" s="44">
        <f t="shared" si="0"/>
        <v>65.195000000000007</v>
      </c>
      <c r="F24" s="74">
        <v>91.9</v>
      </c>
      <c r="G24" s="74">
        <v>27.6</v>
      </c>
      <c r="H24" s="74"/>
      <c r="I24" s="78">
        <f>(1+((E24-E23)/E23))*I23</f>
        <v>65.728979143798028</v>
      </c>
      <c r="J24" s="74">
        <v>8.3999999999999915</v>
      </c>
      <c r="K24" s="45"/>
      <c r="L24" s="45"/>
      <c r="M24" s="45"/>
      <c r="N24" s="45"/>
      <c r="O24" s="46"/>
      <c r="P24" s="44"/>
      <c r="Q24" s="49"/>
    </row>
    <row r="25" spans="1:30" x14ac:dyDescent="0.25">
      <c r="A25" s="34"/>
      <c r="B25" s="56">
        <v>5</v>
      </c>
      <c r="C25" s="34">
        <v>2021</v>
      </c>
      <c r="D25" s="39">
        <v>138</v>
      </c>
      <c r="E25" s="39">
        <f t="shared" si="0"/>
        <v>89.7</v>
      </c>
      <c r="F25" s="39">
        <v>131</v>
      </c>
      <c r="G25" s="74">
        <v>40</v>
      </c>
      <c r="H25" s="34"/>
      <c r="I25" s="78">
        <f>(1+((E25-E24)/E24))*I24</f>
        <v>90.434687156970355</v>
      </c>
      <c r="J25" s="34"/>
      <c r="K25" s="34"/>
      <c r="L25" s="34"/>
      <c r="M25" s="34"/>
      <c r="N25" s="34"/>
      <c r="O25" s="34"/>
      <c r="P25" s="34"/>
      <c r="Q25" s="34"/>
    </row>
    <row r="26" spans="1:30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30" ht="18" x14ac:dyDescent="0.35">
      <c r="A27" s="34"/>
      <c r="B27" s="34"/>
      <c r="C27" s="97" t="s">
        <v>229</v>
      </c>
      <c r="D27" s="97"/>
      <c r="E27" s="97"/>
      <c r="F27" s="97"/>
      <c r="H27" s="97" t="s">
        <v>232</v>
      </c>
      <c r="I27" s="97"/>
      <c r="J27" s="97"/>
      <c r="K27" s="97"/>
      <c r="L27" s="97" t="s">
        <v>231</v>
      </c>
      <c r="M27" s="97"/>
      <c r="N27" s="97"/>
      <c r="O27" s="34"/>
      <c r="P27" s="34"/>
      <c r="Q27" s="34"/>
    </row>
    <row r="28" spans="1:30" ht="18" x14ac:dyDescent="0.35">
      <c r="A28" s="34"/>
      <c r="B28" s="34"/>
      <c r="C28" s="34"/>
      <c r="D28" s="82" t="s">
        <v>160</v>
      </c>
      <c r="E28" s="82" t="s">
        <v>169</v>
      </c>
      <c r="F28" s="50" t="s">
        <v>170</v>
      </c>
      <c r="H28" s="82" t="s">
        <v>162</v>
      </c>
      <c r="I28" s="82" t="s">
        <v>233</v>
      </c>
      <c r="J28" s="50" t="s">
        <v>172</v>
      </c>
      <c r="L28" s="50" t="s">
        <v>162</v>
      </c>
      <c r="M28" s="50" t="s">
        <v>171</v>
      </c>
      <c r="N28" s="50" t="s">
        <v>172</v>
      </c>
      <c r="O28" s="34"/>
      <c r="P28" s="34"/>
      <c r="Q28" s="34"/>
    </row>
    <row r="29" spans="1:30" x14ac:dyDescent="0.25">
      <c r="A29" s="34"/>
      <c r="B29" s="34"/>
      <c r="C29" s="34">
        <v>2017</v>
      </c>
      <c r="D29" s="51">
        <f>E21</f>
        <v>52.65</v>
      </c>
      <c r="E29" s="49">
        <f>D29/((1+$E$8)^(C21-$E$7))</f>
        <v>48.807936828717047</v>
      </c>
      <c r="F29" s="49">
        <f>E29</f>
        <v>48.807936828717047</v>
      </c>
      <c r="H29" s="51">
        <f>I21</f>
        <v>38.243000000000002</v>
      </c>
      <c r="I29" s="49">
        <f>H29/((1+$E$8)^(C21-$E$7))</f>
        <v>35.452268340752632</v>
      </c>
      <c r="J29" s="49">
        <f>I29</f>
        <v>35.452268340752632</v>
      </c>
      <c r="L29" s="51">
        <f>I21</f>
        <v>38.243000000000002</v>
      </c>
      <c r="M29" s="49">
        <f>L29/((1+$E$8)^(C21-$E$7))</f>
        <v>35.452268340752632</v>
      </c>
      <c r="N29" s="49">
        <f>M29</f>
        <v>35.452268340752632</v>
      </c>
      <c r="O29" s="34"/>
      <c r="P29" s="34"/>
      <c r="Q29" s="34"/>
    </row>
    <row r="30" spans="1:30" x14ac:dyDescent="0.25">
      <c r="A30" s="34"/>
      <c r="B30" s="34"/>
      <c r="C30" s="34">
        <v>2018</v>
      </c>
      <c r="D30" s="51">
        <f>E22</f>
        <v>59.598500000000001</v>
      </c>
      <c r="E30" s="49">
        <f>D30/((1+$E$8)^(C22-$E$7))</f>
        <v>51.217629960624564</v>
      </c>
      <c r="F30" s="49">
        <f>F29+E30</f>
        <v>100.02556678934161</v>
      </c>
      <c r="H30" s="51">
        <f>I22</f>
        <v>46.924999999999997</v>
      </c>
      <c r="I30" s="49">
        <f>H30/((1+$E$8)^(C22-$E$7))</f>
        <v>40.326304955700358</v>
      </c>
      <c r="J30" s="49">
        <f>J29+I30</f>
        <v>75.77857329645299</v>
      </c>
      <c r="L30" s="51">
        <f>I22</f>
        <v>46.924999999999997</v>
      </c>
      <c r="M30" s="49">
        <f>L30/((1+$E$8)^(C22-$E$7))</f>
        <v>40.326304955700358</v>
      </c>
      <c r="N30" s="49">
        <f>N29+M30</f>
        <v>75.77857329645299</v>
      </c>
      <c r="O30" s="34"/>
      <c r="P30" s="34"/>
      <c r="Q30" s="34"/>
    </row>
    <row r="31" spans="1:30" x14ac:dyDescent="0.25">
      <c r="A31" s="34"/>
      <c r="B31" s="34"/>
      <c r="C31" s="34">
        <v>2019</v>
      </c>
      <c r="D31" s="51">
        <f>E23</f>
        <v>59.214999999999996</v>
      </c>
      <c r="E31" s="49">
        <f>D31/((1+$E$8)^(C23-$E$7))</f>
        <v>47.174570703842072</v>
      </c>
      <c r="F31" s="49">
        <f>F30+E31</f>
        <v>147.20013749318369</v>
      </c>
      <c r="H31" s="51">
        <f>I23</f>
        <v>59.7</v>
      </c>
      <c r="I31" s="49">
        <f>H31/((1+$E$8)^(C23-$E$7))</f>
        <v>47.560953660717253</v>
      </c>
      <c r="J31" s="49">
        <f>J30+I31</f>
        <v>123.33952695717025</v>
      </c>
      <c r="L31" s="51">
        <f>I23</f>
        <v>59.7</v>
      </c>
      <c r="M31" s="49">
        <f>L31/((1+$E$8)^(C23-$E$7))</f>
        <v>47.560953660717253</v>
      </c>
      <c r="N31" s="49">
        <f t="shared" ref="N31:N33" si="2">N30+M31</f>
        <v>123.33952695717025</v>
      </c>
      <c r="O31" s="34"/>
      <c r="P31" s="34"/>
      <c r="Q31" s="34"/>
    </row>
    <row r="32" spans="1:30" x14ac:dyDescent="0.25">
      <c r="A32" s="34"/>
      <c r="B32" s="34"/>
      <c r="C32" s="34">
        <v>2020</v>
      </c>
      <c r="D32" s="51">
        <f>E24</f>
        <v>65.195000000000007</v>
      </c>
      <c r="E32" s="49">
        <f>D32/((1+$E$8)^(C24-$E$7))</f>
        <v>48.148480630543339</v>
      </c>
      <c r="F32" s="49">
        <f>F31+E32</f>
        <v>195.34861812372702</v>
      </c>
      <c r="H32" s="51">
        <f>I24</f>
        <v>65.728979143798028</v>
      </c>
      <c r="I32" s="49">
        <f>H32/((1+$E$8)^(C24-$E$7))</f>
        <v>48.542840389148644</v>
      </c>
      <c r="J32" s="49">
        <f>J31+I32</f>
        <v>171.88236734631889</v>
      </c>
      <c r="L32" s="51">
        <f>I24</f>
        <v>65.728979143798028</v>
      </c>
      <c r="M32" s="49">
        <f>L32/((1+$E$8)^(C24-$E$7))</f>
        <v>48.542840389148644</v>
      </c>
      <c r="N32" s="49">
        <f t="shared" si="2"/>
        <v>171.88236734631889</v>
      </c>
      <c r="O32" s="34"/>
      <c r="P32" s="34"/>
      <c r="Q32" s="34"/>
    </row>
    <row r="33" spans="1:17" x14ac:dyDescent="0.25">
      <c r="A33" s="34"/>
      <c r="B33" s="34"/>
      <c r="C33" s="34">
        <v>2021</v>
      </c>
      <c r="D33" s="51">
        <f>E25</f>
        <v>89.7</v>
      </c>
      <c r="E33" s="49">
        <f>D33/((1+$E$8)^(C25-$E$7))</f>
        <v>61.411939706042112</v>
      </c>
      <c r="F33" s="49">
        <f>F32+E33</f>
        <v>256.76055782976914</v>
      </c>
      <c r="H33" s="51">
        <f>I25</f>
        <v>90.434687156970355</v>
      </c>
      <c r="I33" s="49">
        <f>H33/((1+$E$8)^(C25-$E$7))</f>
        <v>61.914933723730705</v>
      </c>
      <c r="J33" s="49">
        <f>J32+I33</f>
        <v>233.7973010700496</v>
      </c>
      <c r="L33" s="51">
        <f>I25</f>
        <v>90.434687156970355</v>
      </c>
      <c r="M33" s="49">
        <f>L33/((1+$E$8)^(C25-$E$7))</f>
        <v>61.914933723730705</v>
      </c>
      <c r="N33" s="49">
        <f t="shared" si="2"/>
        <v>233.7973010700496</v>
      </c>
      <c r="O33" s="34"/>
      <c r="P33" s="34"/>
      <c r="Q33" s="34"/>
    </row>
    <row r="34" spans="1:17" x14ac:dyDescent="0.25">
      <c r="A34" s="34"/>
      <c r="B34" s="34"/>
      <c r="C34" s="34"/>
      <c r="D34" s="51"/>
      <c r="E34" s="34"/>
      <c r="F34" s="34"/>
      <c r="L34" s="34"/>
      <c r="M34" s="34"/>
      <c r="N34" s="34"/>
      <c r="O34" s="34"/>
      <c r="P34" s="34"/>
      <c r="Q34" s="34"/>
    </row>
    <row r="35" spans="1:17" ht="18" x14ac:dyDescent="0.35">
      <c r="A35" s="34"/>
      <c r="B35" s="34"/>
      <c r="C35" s="34"/>
      <c r="D35" s="34"/>
      <c r="E35" s="35" t="s">
        <v>167</v>
      </c>
      <c r="F35" s="39">
        <f>F33</f>
        <v>256.76055782976914</v>
      </c>
      <c r="I35" s="35" t="s">
        <v>168</v>
      </c>
      <c r="J35" s="39">
        <f>J33</f>
        <v>233.7973010700496</v>
      </c>
      <c r="L35" s="34"/>
      <c r="M35" s="35" t="s">
        <v>168</v>
      </c>
      <c r="N35" s="39">
        <f>N33</f>
        <v>233.7973010700496</v>
      </c>
      <c r="O35" s="34"/>
      <c r="P35" s="34"/>
      <c r="Q35" s="34"/>
    </row>
    <row r="36" spans="1:17" ht="18" x14ac:dyDescent="0.35">
      <c r="A36" s="34"/>
      <c r="B36" s="34"/>
      <c r="C36" s="34"/>
      <c r="D36" s="34"/>
      <c r="E36" s="35" t="s">
        <v>173</v>
      </c>
      <c r="F36" s="39">
        <f>((D33*(1+E10))*(1-E10/O20))/(E8-E10)</f>
        <v>2458.849746470707</v>
      </c>
      <c r="I36" s="35" t="s">
        <v>173</v>
      </c>
      <c r="J36" s="39">
        <f>((E25*(1+E10))*(1-E10/O20))/(E8-E10)</f>
        <v>2458.849746470707</v>
      </c>
      <c r="L36" s="34"/>
      <c r="M36" s="35" t="s">
        <v>227</v>
      </c>
      <c r="N36" s="39">
        <f>(L33*(1+E10))/(E8-E10)</f>
        <v>-707.04910091743807</v>
      </c>
      <c r="O36" s="34"/>
      <c r="P36" s="34"/>
      <c r="Q36" s="34"/>
    </row>
    <row r="37" spans="1:17" ht="18" x14ac:dyDescent="0.35">
      <c r="A37" s="34"/>
      <c r="B37" s="34"/>
      <c r="C37" s="34"/>
      <c r="D37" s="34"/>
      <c r="E37" s="35" t="s">
        <v>174</v>
      </c>
      <c r="F37" s="39">
        <f>F36/((1+E8)^(C25-E7))</f>
        <v>1683.4195359696319</v>
      </c>
      <c r="I37" s="35" t="s">
        <v>174</v>
      </c>
      <c r="J37" s="39">
        <f>J36/((1+E8)^(C25-E7))</f>
        <v>1683.4195359696319</v>
      </c>
      <c r="L37" s="34"/>
      <c r="M37" s="35" t="s">
        <v>174</v>
      </c>
      <c r="N37" s="39">
        <f>N36/((1+E8)^(C25-E7))</f>
        <v>-484.07198165833876</v>
      </c>
      <c r="O37" s="34"/>
      <c r="P37" s="34"/>
      <c r="Q37" s="34"/>
    </row>
    <row r="38" spans="1:17" ht="18" x14ac:dyDescent="0.35">
      <c r="A38" s="34"/>
      <c r="B38" s="34"/>
      <c r="C38" s="34"/>
      <c r="D38" s="34"/>
      <c r="E38" s="35" t="s">
        <v>229</v>
      </c>
      <c r="F38" s="39">
        <f>F35+F37</f>
        <v>1940.180093799401</v>
      </c>
      <c r="I38" s="35" t="s">
        <v>232</v>
      </c>
      <c r="J38" s="39">
        <f>J35+J37</f>
        <v>1917.2168370396814</v>
      </c>
      <c r="L38" s="34"/>
      <c r="M38" s="35" t="s">
        <v>55</v>
      </c>
      <c r="N38" s="39">
        <f>N35+N37</f>
        <v>-250.27468058828916</v>
      </c>
      <c r="O38" s="34"/>
      <c r="P38" s="34"/>
      <c r="Q38" s="34"/>
    </row>
    <row r="39" spans="1:17" x14ac:dyDescent="0.25">
      <c r="A39" s="34"/>
      <c r="B39" s="34"/>
      <c r="C39" s="34"/>
      <c r="D39" s="34"/>
      <c r="E39" s="34"/>
      <c r="F39" s="35"/>
      <c r="G39" s="39"/>
      <c r="L39" s="34"/>
      <c r="M39" s="35"/>
      <c r="N39" s="39"/>
      <c r="O39" s="34"/>
      <c r="P39" s="34"/>
      <c r="Q39" s="34"/>
    </row>
    <row r="40" spans="1:17" x14ac:dyDescent="0.25">
      <c r="A40" s="34"/>
      <c r="B40" s="34"/>
      <c r="C40" s="34"/>
      <c r="D40" s="34"/>
      <c r="E40" s="34"/>
      <c r="F40" s="35"/>
      <c r="G40" s="39"/>
      <c r="L40" s="34"/>
      <c r="M40" s="35"/>
      <c r="N40" s="39"/>
      <c r="O40" s="34"/>
      <c r="P40" s="34"/>
      <c r="Q40" s="34"/>
    </row>
    <row r="41" spans="1:17" ht="18" customHeight="1" x14ac:dyDescent="0.35">
      <c r="A41" s="34"/>
      <c r="B41" s="34"/>
      <c r="D41" s="93" t="s">
        <v>212</v>
      </c>
      <c r="E41" s="35" t="s">
        <v>228</v>
      </c>
      <c r="F41" s="39">
        <f>D25*(1+E10)*Q20</f>
        <v>3665.3683981767867</v>
      </c>
      <c r="I41" s="35" t="s">
        <v>228</v>
      </c>
      <c r="J41" s="39">
        <f>D25*(1+E10)*Q20</f>
        <v>3665.3683981767867</v>
      </c>
      <c r="L41" s="34"/>
      <c r="M41" s="35" t="s">
        <v>228</v>
      </c>
      <c r="N41" s="39">
        <f>D25*(1+E10)*Q20</f>
        <v>3665.3683981767867</v>
      </c>
      <c r="O41" s="34"/>
      <c r="P41" s="34"/>
      <c r="Q41" s="34"/>
    </row>
    <row r="42" spans="1:17" ht="18" customHeight="1" x14ac:dyDescent="0.35">
      <c r="A42" s="34"/>
      <c r="B42" s="34"/>
      <c r="D42" s="93"/>
      <c r="E42" s="35" t="s">
        <v>174</v>
      </c>
      <c r="F42" s="39">
        <f>F41/((1+$E$8)^($C$25-$E$7))</f>
        <v>2509.4468569594756</v>
      </c>
      <c r="I42" s="35" t="s">
        <v>174</v>
      </c>
      <c r="J42" s="39">
        <f>J41/((1+$E$8)^($C$25-$E$7))</f>
        <v>2509.4468569594756</v>
      </c>
      <c r="L42" s="34"/>
      <c r="M42" s="35" t="s">
        <v>174</v>
      </c>
      <c r="N42" s="39">
        <f>N41/((1+$E$8)^($C$25-$E$7))</f>
        <v>2509.4468569594756</v>
      </c>
      <c r="O42" s="34"/>
      <c r="P42" s="34"/>
      <c r="Q42" s="34"/>
    </row>
    <row r="43" spans="1:17" ht="18" x14ac:dyDescent="0.35">
      <c r="A43" s="34"/>
      <c r="B43" s="34"/>
      <c r="D43" s="93"/>
      <c r="E43" s="35" t="s">
        <v>230</v>
      </c>
      <c r="F43" s="51">
        <f>F35+F42</f>
        <v>2766.2074147892445</v>
      </c>
      <c r="I43" s="35" t="s">
        <v>234</v>
      </c>
      <c r="J43" s="51">
        <f>J35+J42</f>
        <v>2743.2441580295254</v>
      </c>
      <c r="L43" s="34"/>
      <c r="M43" s="35" t="s">
        <v>234</v>
      </c>
      <c r="N43" s="39">
        <f>N33+N42</f>
        <v>2743.2441580295254</v>
      </c>
      <c r="O43" s="34"/>
      <c r="P43" s="34"/>
      <c r="Q43" s="34"/>
    </row>
    <row r="44" spans="1:17" x14ac:dyDescent="0.25">
      <c r="A44" s="34"/>
      <c r="B44" s="34"/>
      <c r="C44" s="34"/>
      <c r="E44" s="34"/>
      <c r="F44" s="34"/>
      <c r="G44" s="34"/>
      <c r="L44" s="34"/>
      <c r="M44" s="34"/>
      <c r="N44" s="34"/>
      <c r="O44" s="34"/>
      <c r="P44" s="34"/>
      <c r="Q44" s="34"/>
    </row>
    <row r="45" spans="1:17" x14ac:dyDescent="0.25">
      <c r="A45" s="34"/>
      <c r="B45" s="34"/>
      <c r="C45" s="34"/>
      <c r="D45" s="34"/>
      <c r="E45" s="34"/>
      <c r="F45" s="35"/>
      <c r="G45" s="34"/>
      <c r="L45" s="34"/>
      <c r="M45" s="34"/>
      <c r="N45" s="34"/>
      <c r="O45" s="34"/>
      <c r="P45" s="34"/>
      <c r="Q45" s="34"/>
    </row>
    <row r="46" spans="1:17" ht="18" customHeight="1" x14ac:dyDescent="0.35">
      <c r="A46" s="34"/>
      <c r="B46" s="34"/>
      <c r="D46" s="93" t="s">
        <v>213</v>
      </c>
      <c r="E46" s="35" t="s">
        <v>228</v>
      </c>
      <c r="F46" s="51">
        <f>$D25*(1+$E$10)*$E$13</f>
        <v>5120.8749270115613</v>
      </c>
      <c r="I46" s="35" t="s">
        <v>228</v>
      </c>
      <c r="J46" s="51">
        <f>$D25*(1+$E$10)*$E$13</f>
        <v>5120.8749270115613</v>
      </c>
      <c r="L46" s="34"/>
      <c r="M46" s="35" t="s">
        <v>228</v>
      </c>
      <c r="N46" s="51">
        <f>$D25*(1+$E$10)*$E$13</f>
        <v>5120.8749270115613</v>
      </c>
      <c r="O46" s="34"/>
      <c r="P46" s="34"/>
      <c r="Q46" s="34"/>
    </row>
    <row r="47" spans="1:17" ht="18" x14ac:dyDescent="0.35">
      <c r="A47" s="34"/>
      <c r="B47" s="34"/>
      <c r="D47" s="93"/>
      <c r="E47" s="35" t="s">
        <v>174</v>
      </c>
      <c r="F47" s="39">
        <f>F46/((1+$E$8)^($C$25-$E$7))</f>
        <v>3505.9404934204767</v>
      </c>
      <c r="I47" s="35" t="s">
        <v>174</v>
      </c>
      <c r="J47" s="39">
        <f>J46/((1+$E$8)^($C$25-$E$7))</f>
        <v>3505.9404934204767</v>
      </c>
      <c r="L47" s="34"/>
      <c r="M47" s="35" t="s">
        <v>174</v>
      </c>
      <c r="N47" s="39">
        <f>N46/((1+$E$8)^($C$25-$E$7))</f>
        <v>3505.9404934204767</v>
      </c>
      <c r="O47" s="34"/>
      <c r="P47" s="34"/>
      <c r="Q47" s="34"/>
    </row>
    <row r="48" spans="1:17" ht="18" x14ac:dyDescent="0.35">
      <c r="A48" s="34"/>
      <c r="B48" s="34"/>
      <c r="D48" s="93"/>
      <c r="E48" s="35" t="s">
        <v>230</v>
      </c>
      <c r="F48" s="51">
        <f>F35+F47</f>
        <v>3762.7010512502457</v>
      </c>
      <c r="I48" s="35" t="s">
        <v>234</v>
      </c>
      <c r="J48" s="51">
        <f>J35+J47</f>
        <v>3739.7377944905265</v>
      </c>
      <c r="L48" s="34"/>
      <c r="M48" s="35" t="s">
        <v>234</v>
      </c>
      <c r="N48" s="51">
        <f>N35+N47</f>
        <v>3739.7377944905265</v>
      </c>
      <c r="O48" s="34"/>
      <c r="P48" s="34"/>
      <c r="Q48" s="34"/>
    </row>
    <row r="49" spans="1:17" x14ac:dyDescent="0.25">
      <c r="A49" s="34"/>
      <c r="B49" s="34"/>
      <c r="C49" s="34"/>
      <c r="D49" s="34"/>
      <c r="E49" s="34"/>
      <c r="F49" s="34"/>
      <c r="L49" s="34"/>
      <c r="M49" s="34"/>
      <c r="N49" s="34"/>
      <c r="O49" s="34"/>
      <c r="P49" s="34"/>
      <c r="Q49" s="34"/>
    </row>
    <row r="50" spans="1:17" x14ac:dyDescent="0.25">
      <c r="A50" s="34"/>
      <c r="B50" s="34"/>
      <c r="C50" s="34"/>
      <c r="D50" s="34"/>
      <c r="E50" s="34"/>
      <c r="F50" s="34"/>
      <c r="L50" s="34"/>
      <c r="M50" s="34"/>
      <c r="N50" s="34"/>
      <c r="O50" s="34"/>
      <c r="P50" s="34"/>
      <c r="Q50" s="34"/>
    </row>
    <row r="51" spans="1:17" ht="18" customHeight="1" x14ac:dyDescent="0.35">
      <c r="A51" s="34"/>
      <c r="B51" s="34"/>
      <c r="D51" s="93" t="s">
        <v>214</v>
      </c>
      <c r="E51" s="35" t="s">
        <v>228</v>
      </c>
      <c r="F51" s="51">
        <f>$D25*(1+$E$10)*$H$13</f>
        <v>2458.8497464707066</v>
      </c>
      <c r="I51" s="35" t="s">
        <v>228</v>
      </c>
      <c r="J51" s="51">
        <f>$D25*(1+$E$10)*$H$13</f>
        <v>2458.8497464707066</v>
      </c>
      <c r="L51" s="34"/>
      <c r="M51" s="35" t="s">
        <v>228</v>
      </c>
      <c r="N51" s="51">
        <f>$D25*(1+$E$10)*$H$13</f>
        <v>2458.8497464707066</v>
      </c>
      <c r="O51" s="34"/>
      <c r="P51" s="34"/>
      <c r="Q51" s="34"/>
    </row>
    <row r="52" spans="1:17" ht="18" x14ac:dyDescent="0.35">
      <c r="A52" s="34"/>
      <c r="B52" s="34"/>
      <c r="D52" s="93"/>
      <c r="E52" s="35" t="s">
        <v>174</v>
      </c>
      <c r="F52" s="39">
        <f>F51/((1+$E$8)^($C$25-$E$7))</f>
        <v>1683.4195359696316</v>
      </c>
      <c r="I52" s="35" t="s">
        <v>174</v>
      </c>
      <c r="J52" s="39">
        <f>J51/((1+$E$8)^($C$25-$E$7))</f>
        <v>1683.4195359696316</v>
      </c>
      <c r="L52" s="34"/>
      <c r="M52" s="35" t="s">
        <v>174</v>
      </c>
      <c r="N52" s="39">
        <f>N51/((1+$E$8)^($C$25-$E$7))</f>
        <v>1683.4195359696316</v>
      </c>
      <c r="O52" s="34"/>
      <c r="P52" s="34"/>
      <c r="Q52" s="34"/>
    </row>
    <row r="53" spans="1:17" ht="18" x14ac:dyDescent="0.35">
      <c r="A53" s="34"/>
      <c r="B53" s="34"/>
      <c r="D53" s="93"/>
      <c r="E53" s="35" t="s">
        <v>230</v>
      </c>
      <c r="F53" s="51">
        <f>F35+F52</f>
        <v>1940.1800937994008</v>
      </c>
      <c r="I53" s="35" t="s">
        <v>234</v>
      </c>
      <c r="J53" s="51">
        <f>J35+J52</f>
        <v>1917.2168370396812</v>
      </c>
      <c r="L53" s="34"/>
      <c r="M53" s="35" t="s">
        <v>234</v>
      </c>
      <c r="N53" s="51">
        <f>N35+N52</f>
        <v>1917.2168370396812</v>
      </c>
      <c r="O53" s="34"/>
      <c r="P53" s="34"/>
      <c r="Q53" s="34"/>
    </row>
    <row r="54" spans="1:17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17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17" ht="17.25" x14ac:dyDescent="0.25">
      <c r="A56" s="34"/>
      <c r="B56" s="34"/>
      <c r="C56" s="34"/>
      <c r="D56" s="36" t="s">
        <v>176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17" ht="17.25" x14ac:dyDescent="0.25">
      <c r="A57" s="34"/>
      <c r="B57" s="34"/>
      <c r="C57" s="34"/>
      <c r="D57" s="34" t="s">
        <v>211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</row>
    <row r="58" spans="1:17" ht="17.25" x14ac:dyDescent="0.25">
      <c r="A58" s="34"/>
      <c r="B58" s="34"/>
      <c r="C58" s="34"/>
      <c r="D58" s="34" t="s">
        <v>182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</row>
    <row r="59" spans="1:17" ht="17.25" x14ac:dyDescent="0.25">
      <c r="A59" s="34"/>
      <c r="B59" s="34"/>
      <c r="C59" s="34"/>
      <c r="D59" s="34" t="s">
        <v>226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  <row r="60" spans="1:17" x14ac:dyDescent="0.25">
      <c r="A60" s="34"/>
      <c r="B60" s="34"/>
      <c r="C60" s="34"/>
      <c r="D60" s="34" t="s">
        <v>183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</row>
    <row r="61" spans="1:17" x14ac:dyDescent="0.25">
      <c r="A61" s="34"/>
      <c r="B61" s="34"/>
      <c r="C61" s="34"/>
      <c r="D61" s="34" t="s">
        <v>221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</row>
    <row r="62" spans="1:17" ht="17.25" x14ac:dyDescent="0.25">
      <c r="A62" s="34"/>
      <c r="B62" s="34"/>
      <c r="C62" s="34"/>
      <c r="D62" s="34" t="s">
        <v>209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</row>
    <row r="63" spans="1:17" ht="17.25" x14ac:dyDescent="0.25">
      <c r="A63" s="34"/>
      <c r="B63" s="34"/>
      <c r="C63" s="34"/>
      <c r="D63" s="34" t="s">
        <v>205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</row>
    <row r="64" spans="1:17" ht="17.25" x14ac:dyDescent="0.25">
      <c r="D64" s="76" t="s">
        <v>208</v>
      </c>
    </row>
    <row r="65" spans="4:4" ht="17.25" x14ac:dyDescent="0.25">
      <c r="D65" s="34" t="s">
        <v>207</v>
      </c>
    </row>
    <row r="66" spans="4:4" ht="17.25" x14ac:dyDescent="0.25">
      <c r="D66" s="34" t="s">
        <v>215</v>
      </c>
    </row>
    <row r="67" spans="4:4" ht="17.25" x14ac:dyDescent="0.25">
      <c r="D67" s="34" t="s">
        <v>216</v>
      </c>
    </row>
    <row r="68" spans="4:4" ht="17.25" x14ac:dyDescent="0.25">
      <c r="D68" s="34" t="s">
        <v>235</v>
      </c>
    </row>
    <row r="69" spans="4:4" ht="17.25" x14ac:dyDescent="0.25">
      <c r="D69" s="34" t="s">
        <v>217</v>
      </c>
    </row>
    <row r="70" spans="4:4" ht="17.25" x14ac:dyDescent="0.25">
      <c r="D70" t="s">
        <v>220</v>
      </c>
    </row>
    <row r="71" spans="4:4" ht="18.75" x14ac:dyDescent="0.35">
      <c r="D71" s="34" t="s">
        <v>223</v>
      </c>
    </row>
  </sheetData>
  <mergeCells count="13">
    <mergeCell ref="D41:D43"/>
    <mergeCell ref="D46:D48"/>
    <mergeCell ref="D51:D53"/>
    <mergeCell ref="C2:P2"/>
    <mergeCell ref="C3:P3"/>
    <mergeCell ref="C4:P4"/>
    <mergeCell ref="F13:G13"/>
    <mergeCell ref="I7:K7"/>
    <mergeCell ref="I9:K9"/>
    <mergeCell ref="H8:K8"/>
    <mergeCell ref="C27:F27"/>
    <mergeCell ref="L27:N27"/>
    <mergeCell ref="H27:K2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71"/>
  <sheetViews>
    <sheetView topLeftCell="A26" zoomScale="80" zoomScaleNormal="80" workbookViewId="0">
      <selection activeCell="D70" sqref="D70"/>
    </sheetView>
  </sheetViews>
  <sheetFormatPr defaultRowHeight="15" x14ac:dyDescent="0.25"/>
  <cols>
    <col min="4" max="4" width="10.7109375" customWidth="1"/>
    <col min="5" max="5" width="12.7109375" customWidth="1"/>
    <col min="6" max="6" width="12.42578125" bestFit="1" customWidth="1"/>
    <col min="7" max="7" width="12.140625" bestFit="1" customWidth="1"/>
    <col min="8" max="8" width="12.140625" customWidth="1"/>
    <col min="9" max="9" width="12.42578125" bestFit="1" customWidth="1"/>
    <col min="10" max="10" width="10.140625" bestFit="1" customWidth="1"/>
    <col min="11" max="11" width="10.42578125" bestFit="1" customWidth="1"/>
    <col min="12" max="12" width="12" bestFit="1" customWidth="1"/>
    <col min="13" max="14" width="10.7109375" bestFit="1" customWidth="1"/>
    <col min="16" max="16" width="10.5703125" bestFit="1" customWidth="1"/>
    <col min="17" max="17" width="11.5703125" bestFit="1" customWidth="1"/>
  </cols>
  <sheetData>
    <row r="2" spans="1:21" ht="23.25" x14ac:dyDescent="0.35">
      <c r="C2" s="94" t="s">
        <v>186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21" x14ac:dyDescent="0.25">
      <c r="C3" s="92" t="s">
        <v>210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21" x14ac:dyDescent="0.25">
      <c r="C4" s="92" t="s">
        <v>185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6" spans="1:2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58">
        <v>2016</v>
      </c>
      <c r="M6" s="58">
        <v>2015</v>
      </c>
      <c r="N6" s="58">
        <v>2014</v>
      </c>
      <c r="O6" s="34"/>
      <c r="P6" s="34"/>
      <c r="Q6" s="34"/>
    </row>
    <row r="7" spans="1:21" x14ac:dyDescent="0.25">
      <c r="A7" s="34"/>
      <c r="B7" s="34"/>
      <c r="C7" s="34"/>
      <c r="D7" s="35" t="s">
        <v>224</v>
      </c>
      <c r="E7" s="35">
        <v>2016</v>
      </c>
      <c r="F7" s="35"/>
      <c r="G7" s="34"/>
      <c r="H7" s="59"/>
      <c r="I7" s="96" t="s">
        <v>187</v>
      </c>
      <c r="J7" s="96"/>
      <c r="K7" s="96"/>
      <c r="L7" s="59">
        <v>25.819500000000001</v>
      </c>
      <c r="M7" s="60">
        <v>18.067299999999999</v>
      </c>
      <c r="N7" s="60">
        <v>15.4419</v>
      </c>
      <c r="O7" s="34"/>
      <c r="P7" s="34"/>
      <c r="Q7" s="77"/>
      <c r="R7" s="77"/>
      <c r="S7" s="77"/>
      <c r="T7" s="77"/>
      <c r="U7" s="77"/>
    </row>
    <row r="8" spans="1:21" ht="17.25" x14ac:dyDescent="0.25">
      <c r="A8" s="34"/>
      <c r="B8" s="34"/>
      <c r="C8" s="36"/>
      <c r="D8" s="82" t="s">
        <v>181</v>
      </c>
      <c r="E8" s="37">
        <f>L13</f>
        <v>7.8717999999999996E-2</v>
      </c>
      <c r="F8" s="34"/>
      <c r="G8" s="36"/>
      <c r="H8" s="96" t="s">
        <v>180</v>
      </c>
      <c r="I8" s="96"/>
      <c r="J8" s="96"/>
      <c r="K8" s="96"/>
      <c r="L8" s="61">
        <v>44.65</v>
      </c>
      <c r="M8" s="62">
        <v>44.6</v>
      </c>
      <c r="N8" s="62">
        <v>43.61</v>
      </c>
      <c r="O8" s="36"/>
      <c r="P8" s="36"/>
      <c r="Q8" s="77"/>
      <c r="R8" s="77"/>
      <c r="S8" s="77"/>
      <c r="T8" s="77"/>
      <c r="U8" s="77"/>
    </row>
    <row r="9" spans="1:21" ht="17.25" x14ac:dyDescent="0.25">
      <c r="A9" s="34"/>
      <c r="B9" s="34"/>
      <c r="C9" s="36"/>
      <c r="D9" s="26" t="s">
        <v>218</v>
      </c>
      <c r="E9" s="57">
        <f>(N20-N19+H20)/E20</f>
        <v>4.5061057755469358</v>
      </c>
      <c r="F9" s="34"/>
      <c r="G9" s="36"/>
      <c r="H9" s="61"/>
      <c r="I9" s="96" t="s">
        <v>184</v>
      </c>
      <c r="J9" s="96"/>
      <c r="K9" s="96"/>
      <c r="L9" s="60">
        <f>L7*L8</f>
        <v>1152.8406749999999</v>
      </c>
      <c r="M9" s="60">
        <f>M7*M8</f>
        <v>805.80158000000006</v>
      </c>
      <c r="N9" s="60">
        <f>N7*N8</f>
        <v>673.42125899999996</v>
      </c>
      <c r="O9" s="36"/>
      <c r="P9" s="36"/>
      <c r="Q9" s="77"/>
      <c r="R9" s="77"/>
      <c r="S9" s="77"/>
      <c r="T9" s="77"/>
      <c r="U9" s="77"/>
    </row>
    <row r="10" spans="1:21" ht="17.25" x14ac:dyDescent="0.25">
      <c r="A10" s="34"/>
      <c r="B10" s="34"/>
      <c r="C10" s="36"/>
      <c r="D10" s="26" t="s">
        <v>219</v>
      </c>
      <c r="E10" s="57">
        <v>2.5000000000000001E-2</v>
      </c>
      <c r="F10" s="34"/>
      <c r="G10" s="36"/>
      <c r="H10" s="61"/>
      <c r="I10" s="61"/>
      <c r="J10" s="63"/>
      <c r="K10" s="83" t="s">
        <v>188</v>
      </c>
      <c r="L10" s="61">
        <v>353.7</v>
      </c>
      <c r="M10" s="60">
        <v>224.72</v>
      </c>
      <c r="N10" s="60">
        <v>311.91000000000003</v>
      </c>
      <c r="O10" s="36"/>
      <c r="P10" s="36"/>
      <c r="Q10" s="77"/>
      <c r="R10" s="77"/>
      <c r="S10" s="77"/>
      <c r="T10" s="77"/>
      <c r="U10" s="77"/>
    </row>
    <row r="11" spans="1:21" ht="18.75" x14ac:dyDescent="0.35">
      <c r="A11" s="34"/>
      <c r="B11" s="34"/>
      <c r="C11" s="36"/>
      <c r="D11" s="82" t="s">
        <v>222</v>
      </c>
      <c r="E11" s="37">
        <f>((D25-D18)/D18)/(C25-C18)</f>
        <v>0.34152334152334152</v>
      </c>
      <c r="F11" s="34"/>
      <c r="G11" s="36"/>
      <c r="H11" s="61"/>
      <c r="I11" s="61"/>
      <c r="J11" s="63"/>
      <c r="K11" s="83" t="s">
        <v>189</v>
      </c>
      <c r="L11" s="61">
        <v>19.170000000000002</v>
      </c>
      <c r="M11" s="60">
        <v>4.18</v>
      </c>
      <c r="N11" s="60">
        <v>7.36</v>
      </c>
      <c r="O11" s="36"/>
      <c r="P11" s="36"/>
      <c r="Q11" s="77"/>
      <c r="R11" s="77"/>
      <c r="S11" s="77"/>
      <c r="T11" s="77"/>
      <c r="U11" s="77"/>
    </row>
    <row r="12" spans="1:21" ht="17.25" x14ac:dyDescent="0.25">
      <c r="A12" s="34"/>
      <c r="B12" s="34"/>
      <c r="C12" s="36"/>
      <c r="D12" s="35"/>
      <c r="E12" s="36"/>
      <c r="F12" s="34"/>
      <c r="G12" s="36"/>
      <c r="H12" s="61"/>
      <c r="I12" s="61"/>
      <c r="J12" s="63"/>
      <c r="K12" s="83" t="s">
        <v>190</v>
      </c>
      <c r="L12" s="81">
        <f>L$9+L$10-L$11</f>
        <v>1487.3706749999999</v>
      </c>
      <c r="M12" s="81">
        <f>M$9+M$10-M$11</f>
        <v>1026.34158</v>
      </c>
      <c r="N12" s="81">
        <f>N$9+N$10-N$11</f>
        <v>977.97125900000003</v>
      </c>
      <c r="O12" s="36"/>
      <c r="P12" s="36"/>
      <c r="Q12" s="77"/>
      <c r="R12" s="77"/>
      <c r="S12" s="77"/>
      <c r="T12" s="77"/>
      <c r="U12" s="77"/>
    </row>
    <row r="13" spans="1:21" ht="18.75" x14ac:dyDescent="0.35">
      <c r="A13" s="34"/>
      <c r="B13" s="34"/>
      <c r="C13" s="36"/>
      <c r="D13" s="82" t="s">
        <v>158</v>
      </c>
      <c r="E13" s="34">
        <v>30</v>
      </c>
      <c r="F13" s="95" t="s">
        <v>175</v>
      </c>
      <c r="G13" s="95"/>
      <c r="H13" s="65">
        <f>((1-E14)*(1-$E$10/$O$20))/($E$8-$E$10)</f>
        <v>6.3468661751883806</v>
      </c>
      <c r="I13" s="66"/>
      <c r="J13" s="59"/>
      <c r="K13" s="83" t="s">
        <v>181</v>
      </c>
      <c r="L13" s="37">
        <v>7.8717999999999996E-2</v>
      </c>
      <c r="M13" s="37">
        <v>6.9540000000000005E-2</v>
      </c>
      <c r="N13" s="37">
        <v>8.4112000000000006E-2</v>
      </c>
      <c r="O13" s="36"/>
      <c r="P13" s="36"/>
      <c r="Q13" s="77"/>
      <c r="R13" s="77"/>
      <c r="S13" s="77"/>
      <c r="T13" s="77"/>
      <c r="U13" s="77"/>
    </row>
    <row r="14" spans="1:21" x14ac:dyDescent="0.25">
      <c r="A14" s="34"/>
      <c r="B14" s="34"/>
      <c r="C14" s="36"/>
      <c r="D14" s="35" t="s">
        <v>152</v>
      </c>
      <c r="E14" s="40">
        <v>0.35</v>
      </c>
      <c r="F14" s="34"/>
      <c r="G14" s="40"/>
      <c r="H14" s="40"/>
      <c r="I14" s="52"/>
      <c r="J14" s="36"/>
      <c r="K14" s="36"/>
      <c r="L14" s="36"/>
      <c r="M14" s="36"/>
      <c r="N14" s="36"/>
      <c r="O14" s="36"/>
      <c r="P14" s="36"/>
      <c r="Q14" s="34"/>
    </row>
    <row r="15" spans="1:21" x14ac:dyDescent="0.25">
      <c r="A15" s="34"/>
      <c r="B15" s="34"/>
      <c r="C15" s="36"/>
      <c r="D15" s="35"/>
      <c r="E15" s="40"/>
      <c r="F15" s="34"/>
      <c r="G15" s="40"/>
      <c r="H15" s="40"/>
      <c r="I15" s="36"/>
      <c r="J15" s="36"/>
      <c r="K15" s="36"/>
      <c r="L15" s="81"/>
      <c r="M15" s="81"/>
      <c r="N15" s="81"/>
      <c r="O15" s="36"/>
      <c r="P15" s="36"/>
      <c r="Q15" s="34"/>
    </row>
    <row r="16" spans="1:21" x14ac:dyDescent="0.25">
      <c r="A16" s="34"/>
      <c r="B16" s="34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4"/>
    </row>
    <row r="17" spans="1:30" ht="30" x14ac:dyDescent="0.25">
      <c r="A17" s="34"/>
      <c r="B17" s="34"/>
      <c r="C17" s="82" t="s">
        <v>159</v>
      </c>
      <c r="D17" s="41" t="s">
        <v>155</v>
      </c>
      <c r="E17" s="82" t="s">
        <v>206</v>
      </c>
      <c r="F17" s="41" t="s">
        <v>161</v>
      </c>
      <c r="G17" s="41" t="s">
        <v>156</v>
      </c>
      <c r="H17" s="41" t="s">
        <v>88</v>
      </c>
      <c r="I17" s="41" t="s">
        <v>177</v>
      </c>
      <c r="J17" s="41" t="s">
        <v>178</v>
      </c>
      <c r="K17" s="41" t="s">
        <v>163</v>
      </c>
      <c r="L17" s="41" t="s">
        <v>164</v>
      </c>
      <c r="M17" s="41" t="s">
        <v>165</v>
      </c>
      <c r="N17" s="41" t="s">
        <v>225</v>
      </c>
      <c r="O17" s="41" t="s">
        <v>204</v>
      </c>
      <c r="P17" s="41" t="s">
        <v>179</v>
      </c>
      <c r="Q17" s="41" t="s">
        <v>166</v>
      </c>
    </row>
    <row r="18" spans="1:30" x14ac:dyDescent="0.25">
      <c r="A18" s="34"/>
      <c r="B18" s="34"/>
      <c r="C18" s="43">
        <v>2014</v>
      </c>
      <c r="D18" s="73">
        <v>40.700000000000003</v>
      </c>
      <c r="E18" s="44">
        <f t="shared" ref="E18:E25" si="0">D18*(1-$E$14)</f>
        <v>26.455000000000002</v>
      </c>
      <c r="F18" s="73">
        <v>31.1</v>
      </c>
      <c r="G18" s="73">
        <v>8.6</v>
      </c>
      <c r="H18" s="73">
        <f>21.03+14.9</f>
        <v>35.93</v>
      </c>
      <c r="I18" s="73"/>
      <c r="J18" s="73">
        <v>8.83</v>
      </c>
      <c r="K18" s="73">
        <v>554.83000000000004</v>
      </c>
      <c r="L18" s="55">
        <v>192.34</v>
      </c>
      <c r="M18" s="55">
        <v>75.430000000000007</v>
      </c>
      <c r="N18" s="45">
        <f>K18+(L18-M18)</f>
        <v>671.74</v>
      </c>
      <c r="O18" s="46">
        <f>E18/N18</f>
        <v>3.938279691547325E-2</v>
      </c>
      <c r="P18" s="55">
        <f>N12</f>
        <v>977.97125900000003</v>
      </c>
      <c r="Q18" s="47">
        <f>P18/D18</f>
        <v>24.028777862407861</v>
      </c>
    </row>
    <row r="19" spans="1:30" x14ac:dyDescent="0.25">
      <c r="A19" s="34"/>
      <c r="C19" s="43">
        <v>2015</v>
      </c>
      <c r="D19" s="73">
        <v>38.619999999999997</v>
      </c>
      <c r="E19" s="44">
        <f t="shared" si="0"/>
        <v>25.102999999999998</v>
      </c>
      <c r="F19" s="73">
        <v>31.43</v>
      </c>
      <c r="G19" s="73">
        <v>7.4</v>
      </c>
      <c r="H19" s="73">
        <f>22.63+14.8</f>
        <v>37.43</v>
      </c>
      <c r="I19" s="73">
        <v>17.649999999999999</v>
      </c>
      <c r="J19" s="74">
        <v>6.23</v>
      </c>
      <c r="K19" s="73">
        <v>574.73</v>
      </c>
      <c r="L19" s="55">
        <v>204</v>
      </c>
      <c r="M19" s="55">
        <v>87.91</v>
      </c>
      <c r="N19" s="45">
        <f>K19+(L19-M19)</f>
        <v>690.82</v>
      </c>
      <c r="O19" s="46">
        <f>E19/N19</f>
        <v>3.6337975159954829E-2</v>
      </c>
      <c r="P19" s="55">
        <f>M12</f>
        <v>1026.34158</v>
      </c>
      <c r="Q19" s="47">
        <f>P19/D19</f>
        <v>26.575390471258416</v>
      </c>
      <c r="T19" s="79"/>
      <c r="U19" s="80"/>
      <c r="V19" s="80"/>
      <c r="W19" s="80"/>
      <c r="X19" s="80"/>
      <c r="Y19" s="80"/>
      <c r="Z19" s="80"/>
      <c r="AA19" s="80"/>
      <c r="AB19" s="80"/>
      <c r="AC19" s="80"/>
      <c r="AD19" s="80"/>
    </row>
    <row r="20" spans="1:30" x14ac:dyDescent="0.25">
      <c r="A20" s="34"/>
      <c r="B20" s="42" t="s">
        <v>157</v>
      </c>
      <c r="C20" s="48">
        <v>2016</v>
      </c>
      <c r="D20" s="74">
        <v>69.2667</v>
      </c>
      <c r="E20" s="44">
        <f t="shared" si="0"/>
        <v>45.023355000000002</v>
      </c>
      <c r="F20" s="74">
        <v>61.0867</v>
      </c>
      <c r="G20" s="74">
        <v>15.563000000000001</v>
      </c>
      <c r="H20" s="74">
        <v>37.4</v>
      </c>
      <c r="I20" s="74">
        <v>16.231999999999999</v>
      </c>
      <c r="J20" s="74">
        <v>3.8133000000000052</v>
      </c>
      <c r="K20" s="45">
        <v>701.2</v>
      </c>
      <c r="L20" s="45">
        <v>243.43</v>
      </c>
      <c r="M20" s="45">
        <v>88.33</v>
      </c>
      <c r="N20" s="45">
        <f>K20+(L20-M20)</f>
        <v>856.30000000000007</v>
      </c>
      <c r="O20" s="46">
        <f>E20/N20</f>
        <v>5.2578950134298724E-2</v>
      </c>
      <c r="P20" s="45">
        <f>L12</f>
        <v>1487.3706749999999</v>
      </c>
      <c r="Q20" s="49">
        <f>P20/D20</f>
        <v>21.473098545188378</v>
      </c>
    </row>
    <row r="21" spans="1:30" x14ac:dyDescent="0.25">
      <c r="A21" s="34"/>
      <c r="B21" s="34">
        <v>1</v>
      </c>
      <c r="C21" s="48">
        <f t="shared" ref="C21:C24" si="1">C20+1</f>
        <v>2017</v>
      </c>
      <c r="D21" s="74">
        <v>81</v>
      </c>
      <c r="E21" s="44">
        <f t="shared" si="0"/>
        <v>52.65</v>
      </c>
      <c r="F21" s="74">
        <v>72.52</v>
      </c>
      <c r="G21" s="74">
        <v>19.155799999999999</v>
      </c>
      <c r="H21" s="74">
        <v>42.8</v>
      </c>
      <c r="I21" s="74">
        <v>38.243000000000002</v>
      </c>
      <c r="J21" s="74">
        <v>3.0799999999999983</v>
      </c>
      <c r="K21" s="45"/>
      <c r="L21" s="45"/>
      <c r="M21" s="45"/>
      <c r="N21" s="45"/>
      <c r="O21" s="46"/>
      <c r="P21" s="45"/>
      <c r="Q21" s="49"/>
    </row>
    <row r="22" spans="1:30" x14ac:dyDescent="0.25">
      <c r="A22" s="34"/>
      <c r="B22" s="34">
        <v>2</v>
      </c>
      <c r="C22" s="48">
        <f t="shared" si="1"/>
        <v>2018</v>
      </c>
      <c r="D22" s="74">
        <v>91.69</v>
      </c>
      <c r="E22" s="44">
        <f t="shared" si="0"/>
        <v>59.598500000000001</v>
      </c>
      <c r="F22" s="74">
        <v>83.366699999999994</v>
      </c>
      <c r="G22" s="74">
        <v>22.471</v>
      </c>
      <c r="H22" s="74">
        <v>45</v>
      </c>
      <c r="I22" s="74">
        <v>46.924999999999997</v>
      </c>
      <c r="J22" s="74">
        <v>-1.3666999999999945</v>
      </c>
      <c r="K22" s="45"/>
      <c r="L22" s="45"/>
      <c r="M22" s="45"/>
      <c r="N22" s="45"/>
      <c r="O22" s="46"/>
      <c r="P22" s="45"/>
      <c r="Q22" s="49"/>
    </row>
    <row r="23" spans="1:30" x14ac:dyDescent="0.25">
      <c r="A23" s="34"/>
      <c r="B23" s="34">
        <v>3</v>
      </c>
      <c r="C23" s="48">
        <f t="shared" si="1"/>
        <v>2019</v>
      </c>
      <c r="D23" s="74">
        <v>91.1</v>
      </c>
      <c r="E23" s="44">
        <f t="shared" si="0"/>
        <v>59.214999999999996</v>
      </c>
      <c r="F23" s="74">
        <v>82.3</v>
      </c>
      <c r="G23" s="74">
        <v>24.7</v>
      </c>
      <c r="H23" s="74">
        <v>46.5</v>
      </c>
      <c r="I23" s="75">
        <v>59.7</v>
      </c>
      <c r="J23" s="74">
        <v>8.7999999999999972</v>
      </c>
      <c r="K23" s="45"/>
      <c r="L23" s="45"/>
      <c r="M23" s="45"/>
      <c r="N23" s="45"/>
      <c r="O23" s="46"/>
      <c r="P23" s="44"/>
      <c r="Q23" s="49"/>
    </row>
    <row r="24" spans="1:30" x14ac:dyDescent="0.25">
      <c r="A24" s="34"/>
      <c r="B24" s="34">
        <v>4</v>
      </c>
      <c r="C24" s="48">
        <f t="shared" si="1"/>
        <v>2020</v>
      </c>
      <c r="D24" s="74">
        <v>100.3</v>
      </c>
      <c r="E24" s="44">
        <f t="shared" si="0"/>
        <v>65.195000000000007</v>
      </c>
      <c r="F24" s="74">
        <v>91.9</v>
      </c>
      <c r="G24" s="74">
        <v>27.6</v>
      </c>
      <c r="H24" s="74"/>
      <c r="I24" s="78">
        <f>(1+((E24-E23)/E23))*I23</f>
        <v>65.728979143798028</v>
      </c>
      <c r="J24" s="74">
        <v>8.3999999999999915</v>
      </c>
      <c r="K24" s="45"/>
      <c r="L24" s="45"/>
      <c r="M24" s="45"/>
      <c r="N24" s="45"/>
      <c r="O24" s="46"/>
      <c r="P24" s="44"/>
      <c r="Q24" s="49"/>
    </row>
    <row r="25" spans="1:30" x14ac:dyDescent="0.25">
      <c r="A25" s="34"/>
      <c r="B25" s="56">
        <v>5</v>
      </c>
      <c r="C25" s="34">
        <v>2021</v>
      </c>
      <c r="D25" s="39">
        <v>138</v>
      </c>
      <c r="E25" s="39">
        <f t="shared" si="0"/>
        <v>89.7</v>
      </c>
      <c r="F25" s="39">
        <v>131</v>
      </c>
      <c r="G25" s="74">
        <v>40</v>
      </c>
      <c r="H25" s="34"/>
      <c r="I25" s="78">
        <f>(1+((E25-E24)/E24))*I24</f>
        <v>90.434687156970355</v>
      </c>
      <c r="J25" s="34"/>
      <c r="K25" s="34"/>
      <c r="L25" s="34"/>
      <c r="M25" s="34"/>
      <c r="N25" s="34"/>
      <c r="O25" s="34"/>
      <c r="P25" s="34"/>
      <c r="Q25" s="34"/>
    </row>
    <row r="26" spans="1:30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30" ht="18" x14ac:dyDescent="0.35">
      <c r="A27" s="34"/>
      <c r="B27" s="34"/>
      <c r="C27" s="97" t="s">
        <v>229</v>
      </c>
      <c r="D27" s="97"/>
      <c r="E27" s="97"/>
      <c r="F27" s="97"/>
      <c r="H27" s="97" t="s">
        <v>232</v>
      </c>
      <c r="I27" s="97"/>
      <c r="J27" s="97"/>
      <c r="K27" s="99"/>
      <c r="L27" s="97" t="s">
        <v>231</v>
      </c>
      <c r="M27" s="97"/>
      <c r="N27" s="97"/>
      <c r="O27" s="34"/>
      <c r="P27" s="34"/>
      <c r="Q27" s="34"/>
    </row>
    <row r="28" spans="1:30" ht="18" x14ac:dyDescent="0.35">
      <c r="A28" s="34"/>
      <c r="B28" s="34"/>
      <c r="C28" s="34"/>
      <c r="D28" s="82" t="s">
        <v>160</v>
      </c>
      <c r="E28" s="82" t="s">
        <v>169</v>
      </c>
      <c r="F28" s="50" t="s">
        <v>170</v>
      </c>
      <c r="H28" s="82" t="s">
        <v>162</v>
      </c>
      <c r="I28" s="82" t="s">
        <v>233</v>
      </c>
      <c r="J28" s="50" t="s">
        <v>172</v>
      </c>
      <c r="L28" s="50" t="s">
        <v>162</v>
      </c>
      <c r="M28" s="50" t="s">
        <v>171</v>
      </c>
      <c r="N28" s="50" t="s">
        <v>172</v>
      </c>
      <c r="O28" s="34"/>
      <c r="P28" s="34"/>
      <c r="Q28" s="34"/>
    </row>
    <row r="29" spans="1:30" x14ac:dyDescent="0.25">
      <c r="A29" s="34"/>
      <c r="B29" s="34"/>
      <c r="C29" s="34">
        <v>2017</v>
      </c>
      <c r="D29" s="51">
        <f>E21</f>
        <v>52.65</v>
      </c>
      <c r="E29" s="49">
        <f>D29/((1+$E$8)^(C21-$E$7))</f>
        <v>48.807936828717047</v>
      </c>
      <c r="F29" s="49">
        <f>E29</f>
        <v>48.807936828717047</v>
      </c>
      <c r="H29" s="51">
        <f>I21</f>
        <v>38.243000000000002</v>
      </c>
      <c r="I29" s="49">
        <f>H29/((1+$E$8)^(C21-$E$7))</f>
        <v>35.452268340752632</v>
      </c>
      <c r="J29" s="49">
        <f>I29</f>
        <v>35.452268340752632</v>
      </c>
      <c r="L29" s="51">
        <f>I21</f>
        <v>38.243000000000002</v>
      </c>
      <c r="M29" s="49">
        <f>L29/((1+$E$8)^(C21-$E$7))</f>
        <v>35.452268340752632</v>
      </c>
      <c r="N29" s="49">
        <f>M29</f>
        <v>35.452268340752632</v>
      </c>
      <c r="O29" s="34"/>
      <c r="P29" s="34"/>
      <c r="Q29" s="34"/>
    </row>
    <row r="30" spans="1:30" x14ac:dyDescent="0.25">
      <c r="A30" s="34"/>
      <c r="B30" s="34"/>
      <c r="C30" s="34">
        <v>2018</v>
      </c>
      <c r="D30" s="51">
        <f>E22</f>
        <v>59.598500000000001</v>
      </c>
      <c r="E30" s="49">
        <f>D30/((1+$E$8)^(C22-$E$7))</f>
        <v>51.217629960624564</v>
      </c>
      <c r="F30" s="49">
        <f>F29+E30</f>
        <v>100.02556678934161</v>
      </c>
      <c r="H30" s="51">
        <f>I22</f>
        <v>46.924999999999997</v>
      </c>
      <c r="I30" s="49">
        <f>H30/((1+$E$8)^(C22-$E$7))</f>
        <v>40.326304955700358</v>
      </c>
      <c r="J30" s="49">
        <f>J29+I30</f>
        <v>75.77857329645299</v>
      </c>
      <c r="L30" s="51">
        <f>I22</f>
        <v>46.924999999999997</v>
      </c>
      <c r="M30" s="49">
        <f>L30/((1+$E$8)^(C22-$E$7))</f>
        <v>40.326304955700358</v>
      </c>
      <c r="N30" s="49">
        <f>N29+M30</f>
        <v>75.77857329645299</v>
      </c>
      <c r="O30" s="34"/>
      <c r="P30" s="34"/>
      <c r="Q30" s="34"/>
    </row>
    <row r="31" spans="1:30" x14ac:dyDescent="0.25">
      <c r="A31" s="34"/>
      <c r="B31" s="34"/>
      <c r="C31" s="34">
        <v>2019</v>
      </c>
      <c r="D31" s="51">
        <f>E23</f>
        <v>59.214999999999996</v>
      </c>
      <c r="E31" s="49">
        <f>D31/((1+$E$8)^(C23-$E$7))</f>
        <v>47.174570703842072</v>
      </c>
      <c r="F31" s="49">
        <f>F30+E31</f>
        <v>147.20013749318369</v>
      </c>
      <c r="H31" s="51">
        <f>I23</f>
        <v>59.7</v>
      </c>
      <c r="I31" s="49">
        <f>H31/((1+$E$8)^(C23-$E$7))</f>
        <v>47.560953660717253</v>
      </c>
      <c r="J31" s="49">
        <f>J30+I31</f>
        <v>123.33952695717025</v>
      </c>
      <c r="L31" s="51">
        <f>I23</f>
        <v>59.7</v>
      </c>
      <c r="M31" s="49">
        <f>L31/((1+$E$8)^(C23-$E$7))</f>
        <v>47.560953660717253</v>
      </c>
      <c r="N31" s="49">
        <f t="shared" ref="N31:N33" si="2">N30+M31</f>
        <v>123.33952695717025</v>
      </c>
      <c r="O31" s="34"/>
      <c r="P31" s="34"/>
      <c r="Q31" s="34"/>
    </row>
    <row r="32" spans="1:30" x14ac:dyDescent="0.25">
      <c r="A32" s="34"/>
      <c r="B32" s="34"/>
      <c r="C32" s="34">
        <v>2020</v>
      </c>
      <c r="D32" s="51">
        <f>E24</f>
        <v>65.195000000000007</v>
      </c>
      <c r="E32" s="49">
        <f>D32/((1+$E$8)^(C24-$E$7))</f>
        <v>48.148480630543339</v>
      </c>
      <c r="F32" s="49">
        <f>F31+E32</f>
        <v>195.34861812372702</v>
      </c>
      <c r="H32" s="51">
        <f>I24</f>
        <v>65.728979143798028</v>
      </c>
      <c r="I32" s="49">
        <f>H32/((1+$E$8)^(C24-$E$7))</f>
        <v>48.542840389148644</v>
      </c>
      <c r="J32" s="49">
        <f>J31+I32</f>
        <v>171.88236734631889</v>
      </c>
      <c r="L32" s="51">
        <f>I24</f>
        <v>65.728979143798028</v>
      </c>
      <c r="M32" s="49">
        <f>L32/((1+$E$8)^(C24-$E$7))</f>
        <v>48.542840389148644</v>
      </c>
      <c r="N32" s="49">
        <f t="shared" si="2"/>
        <v>171.88236734631889</v>
      </c>
      <c r="O32" s="34"/>
      <c r="P32" s="34"/>
      <c r="Q32" s="34"/>
    </row>
    <row r="33" spans="1:17" x14ac:dyDescent="0.25">
      <c r="A33" s="34"/>
      <c r="B33" s="34"/>
      <c r="C33" s="34">
        <v>2021</v>
      </c>
      <c r="D33" s="51">
        <f>E25</f>
        <v>89.7</v>
      </c>
      <c r="E33" s="49">
        <f>D33/((1+$E$8)^(C25-$E$7))</f>
        <v>61.411939706042112</v>
      </c>
      <c r="F33" s="49">
        <f>F32+E33</f>
        <v>256.76055782976914</v>
      </c>
      <c r="H33" s="51">
        <f>I25</f>
        <v>90.434687156970355</v>
      </c>
      <c r="I33" s="49">
        <f>H33/((1+$E$8)^(C25-$E$7))</f>
        <v>61.914933723730705</v>
      </c>
      <c r="J33" s="49">
        <f>J32+I33</f>
        <v>233.7973010700496</v>
      </c>
      <c r="L33" s="51">
        <f>I25</f>
        <v>90.434687156970355</v>
      </c>
      <c r="M33" s="49">
        <f>L33/((1+$E$8)^(C25-$E$7))</f>
        <v>61.914933723730705</v>
      </c>
      <c r="N33" s="49">
        <f t="shared" si="2"/>
        <v>233.7973010700496</v>
      </c>
      <c r="O33" s="34"/>
      <c r="P33" s="34"/>
      <c r="Q33" s="34"/>
    </row>
    <row r="34" spans="1:17" x14ac:dyDescent="0.25">
      <c r="A34" s="34"/>
      <c r="B34" s="34"/>
      <c r="C34" s="34"/>
      <c r="D34" s="51"/>
      <c r="E34" s="34"/>
      <c r="F34" s="34"/>
      <c r="L34" s="34"/>
      <c r="M34" s="34"/>
      <c r="N34" s="34"/>
      <c r="O34" s="34"/>
      <c r="P34" s="34"/>
      <c r="Q34" s="34"/>
    </row>
    <row r="35" spans="1:17" ht="18" x14ac:dyDescent="0.35">
      <c r="A35" s="34"/>
      <c r="B35" s="34"/>
      <c r="C35" s="34"/>
      <c r="D35" s="34"/>
      <c r="E35" s="35" t="s">
        <v>167</v>
      </c>
      <c r="F35" s="39">
        <f>F33</f>
        <v>256.76055782976914</v>
      </c>
      <c r="I35" s="35" t="s">
        <v>168</v>
      </c>
      <c r="J35" s="39">
        <f>J33</f>
        <v>233.7973010700496</v>
      </c>
      <c r="L35" s="34"/>
      <c r="M35" s="35" t="s">
        <v>168</v>
      </c>
      <c r="N35" s="39">
        <f>N33</f>
        <v>233.7973010700496</v>
      </c>
      <c r="O35" s="34"/>
      <c r="P35" s="34"/>
      <c r="Q35" s="34"/>
    </row>
    <row r="36" spans="1:17" ht="18" x14ac:dyDescent="0.35">
      <c r="A36" s="34"/>
      <c r="B36" s="34"/>
      <c r="C36" s="34"/>
      <c r="D36" s="34"/>
      <c r="E36" s="35" t="s">
        <v>173</v>
      </c>
      <c r="F36" s="39">
        <f>((D33*(1+E10))*(1-E10/O20))/(E8-E10)</f>
        <v>897.76422048039626</v>
      </c>
      <c r="I36" s="35" t="s">
        <v>173</v>
      </c>
      <c r="J36" s="39">
        <f>((E25*(1+E10))*(1-E10/O20))/(E8-E10)</f>
        <v>897.76422048039626</v>
      </c>
      <c r="L36" s="34"/>
      <c r="M36" s="35" t="s">
        <v>227</v>
      </c>
      <c r="N36" s="39">
        <f>(L33*(1+E10))/(E8-E10)</f>
        <v>1725.5957842044495</v>
      </c>
      <c r="O36" s="34"/>
      <c r="P36" s="34"/>
      <c r="Q36" s="34"/>
    </row>
    <row r="37" spans="1:17" ht="18" x14ac:dyDescent="0.35">
      <c r="A37" s="34"/>
      <c r="B37" s="34"/>
      <c r="C37" s="34"/>
      <c r="D37" s="34"/>
      <c r="E37" s="35" t="s">
        <v>174</v>
      </c>
      <c r="F37" s="39">
        <f>F36/((1+E8)^(C25-E7))</f>
        <v>614.6426106843254</v>
      </c>
      <c r="I37" s="35" t="s">
        <v>174</v>
      </c>
      <c r="J37" s="39">
        <f>J36/((1+E8)^(C25-E7))</f>
        <v>614.6426106843254</v>
      </c>
      <c r="L37" s="34"/>
      <c r="M37" s="35" t="s">
        <v>174</v>
      </c>
      <c r="N37" s="39">
        <f>N36/((1+E8)^(C25-E7))</f>
        <v>1181.4067364165451</v>
      </c>
      <c r="O37" s="34"/>
      <c r="P37" s="34"/>
      <c r="Q37" s="34"/>
    </row>
    <row r="38" spans="1:17" ht="18" x14ac:dyDescent="0.35">
      <c r="A38" s="34"/>
      <c r="B38" s="34"/>
      <c r="C38" s="34"/>
      <c r="D38" s="34"/>
      <c r="E38" s="35" t="s">
        <v>229</v>
      </c>
      <c r="F38" s="39">
        <f>F35+F37</f>
        <v>871.40316851409455</v>
      </c>
      <c r="I38" s="35" t="s">
        <v>232</v>
      </c>
      <c r="J38" s="39">
        <f>J35+J37</f>
        <v>848.43991175437498</v>
      </c>
      <c r="L38" s="34"/>
      <c r="M38" s="35" t="s">
        <v>55</v>
      </c>
      <c r="N38" s="39">
        <f>N35+N37</f>
        <v>1415.2040374865946</v>
      </c>
      <c r="O38" s="34"/>
      <c r="P38" s="34"/>
      <c r="Q38" s="34"/>
    </row>
    <row r="39" spans="1:17" x14ac:dyDescent="0.25">
      <c r="A39" s="34"/>
      <c r="B39" s="34"/>
      <c r="C39" s="34"/>
      <c r="D39" s="34"/>
      <c r="E39" s="34"/>
      <c r="F39" s="35"/>
      <c r="G39" s="39"/>
      <c r="L39" s="34"/>
      <c r="M39" s="35"/>
      <c r="N39" s="39"/>
      <c r="O39" s="34"/>
      <c r="P39" s="34"/>
      <c r="Q39" s="34"/>
    </row>
    <row r="40" spans="1:17" x14ac:dyDescent="0.25">
      <c r="A40" s="34"/>
      <c r="B40" s="34"/>
      <c r="C40" s="34"/>
      <c r="D40" s="34"/>
      <c r="E40" s="34"/>
      <c r="F40" s="35"/>
      <c r="G40" s="39"/>
      <c r="L40" s="34"/>
      <c r="M40" s="35"/>
      <c r="N40" s="39"/>
      <c r="O40" s="34"/>
      <c r="P40" s="34"/>
      <c r="Q40" s="34"/>
    </row>
    <row r="41" spans="1:17" ht="18" customHeight="1" x14ac:dyDescent="0.35">
      <c r="A41" s="34"/>
      <c r="B41" s="34"/>
      <c r="D41" s="93" t="s">
        <v>212</v>
      </c>
      <c r="E41" s="35" t="s">
        <v>228</v>
      </c>
      <c r="F41" s="39">
        <f>D25*(1+E10)*Q20</f>
        <v>3037.3697892168957</v>
      </c>
      <c r="I41" s="35" t="s">
        <v>228</v>
      </c>
      <c r="J41" s="39">
        <f>D25*(1+E10)*Q20</f>
        <v>3037.3697892168957</v>
      </c>
      <c r="L41" s="34"/>
      <c r="M41" s="35" t="s">
        <v>228</v>
      </c>
      <c r="N41" s="39">
        <f>D25*(1+E10)*Q20</f>
        <v>3037.3697892168957</v>
      </c>
      <c r="O41" s="34"/>
      <c r="P41" s="34"/>
      <c r="Q41" s="34"/>
    </row>
    <row r="42" spans="1:17" ht="18" customHeight="1" x14ac:dyDescent="0.35">
      <c r="A42" s="34"/>
      <c r="B42" s="34"/>
      <c r="D42" s="93"/>
      <c r="E42" s="35" t="s">
        <v>174</v>
      </c>
      <c r="F42" s="39">
        <f>F41/((1+$E$8)^($C$25-$E$7))</f>
        <v>2079.4957676738218</v>
      </c>
      <c r="I42" s="35" t="s">
        <v>174</v>
      </c>
      <c r="J42" s="39">
        <f>J41/((1+$E$8)^($C$25-$E$7))</f>
        <v>2079.4957676738218</v>
      </c>
      <c r="L42" s="34"/>
      <c r="M42" s="35" t="s">
        <v>174</v>
      </c>
      <c r="N42" s="39">
        <f>N41/((1+$E$8)^($C$25-$E$7))</f>
        <v>2079.4957676738218</v>
      </c>
      <c r="O42" s="34"/>
      <c r="P42" s="34"/>
      <c r="Q42" s="34"/>
    </row>
    <row r="43" spans="1:17" ht="18" x14ac:dyDescent="0.35">
      <c r="A43" s="34"/>
      <c r="B43" s="34"/>
      <c r="D43" s="93"/>
      <c r="E43" s="35" t="s">
        <v>230</v>
      </c>
      <c r="F43" s="51">
        <f>F35+F42</f>
        <v>2336.2563255035911</v>
      </c>
      <c r="I43" s="35" t="s">
        <v>234</v>
      </c>
      <c r="J43" s="51">
        <f>J35+J42</f>
        <v>2313.2930687438716</v>
      </c>
      <c r="L43" s="34"/>
      <c r="M43" s="35" t="s">
        <v>234</v>
      </c>
      <c r="N43" s="39">
        <f>N33+N42</f>
        <v>2313.2930687438716</v>
      </c>
      <c r="O43" s="34"/>
      <c r="P43" s="34"/>
      <c r="Q43" s="34"/>
    </row>
    <row r="44" spans="1:17" x14ac:dyDescent="0.25">
      <c r="A44" s="34"/>
      <c r="B44" s="34"/>
      <c r="C44" s="34"/>
      <c r="E44" s="34"/>
      <c r="F44" s="34"/>
      <c r="G44" s="34"/>
      <c r="L44" s="34"/>
      <c r="M44" s="34"/>
      <c r="N44" s="34"/>
      <c r="O44" s="34"/>
      <c r="P44" s="34"/>
      <c r="Q44" s="34"/>
    </row>
    <row r="45" spans="1:17" x14ac:dyDescent="0.25">
      <c r="A45" s="34"/>
      <c r="B45" s="34"/>
      <c r="C45" s="34"/>
      <c r="D45" s="34"/>
      <c r="E45" s="34"/>
      <c r="F45" s="35"/>
      <c r="G45" s="34"/>
      <c r="L45" s="34"/>
      <c r="M45" s="34"/>
      <c r="N45" s="34"/>
      <c r="O45" s="34"/>
      <c r="P45" s="34"/>
      <c r="Q45" s="34"/>
    </row>
    <row r="46" spans="1:17" ht="18" customHeight="1" x14ac:dyDescent="0.35">
      <c r="A46" s="34"/>
      <c r="B46" s="34"/>
      <c r="D46" s="93" t="s">
        <v>213</v>
      </c>
      <c r="E46" s="35" t="s">
        <v>228</v>
      </c>
      <c r="F46" s="51">
        <f>$D25*(1+$E$10)*$E$13</f>
        <v>4243.5</v>
      </c>
      <c r="I46" s="35" t="s">
        <v>228</v>
      </c>
      <c r="J46" s="51">
        <f>$D25*(1+$E$10)*$E$13</f>
        <v>4243.5</v>
      </c>
      <c r="L46" s="34"/>
      <c r="M46" s="35" t="s">
        <v>228</v>
      </c>
      <c r="N46" s="51">
        <f>$D25*(1+$E$10)*$E$13</f>
        <v>4243.5</v>
      </c>
      <c r="O46" s="34"/>
      <c r="P46" s="34"/>
      <c r="Q46" s="34"/>
    </row>
    <row r="47" spans="1:17" ht="18" x14ac:dyDescent="0.35">
      <c r="A47" s="34"/>
      <c r="B47" s="34"/>
      <c r="D47" s="93"/>
      <c r="E47" s="35" t="s">
        <v>174</v>
      </c>
      <c r="F47" s="39">
        <f>F46/((1+$E$8)^($C$25-$E$7))</f>
        <v>2905.2571476319922</v>
      </c>
      <c r="I47" s="35" t="s">
        <v>174</v>
      </c>
      <c r="J47" s="39">
        <f>J46/((1+$E$8)^($C$25-$E$7))</f>
        <v>2905.2571476319922</v>
      </c>
      <c r="L47" s="34"/>
      <c r="M47" s="35" t="s">
        <v>174</v>
      </c>
      <c r="N47" s="39">
        <f>N46/((1+$E$8)^($C$25-$E$7))</f>
        <v>2905.2571476319922</v>
      </c>
      <c r="O47" s="34"/>
      <c r="P47" s="34"/>
      <c r="Q47" s="34"/>
    </row>
    <row r="48" spans="1:17" ht="18" x14ac:dyDescent="0.35">
      <c r="A48" s="34"/>
      <c r="B48" s="34"/>
      <c r="D48" s="93"/>
      <c r="E48" s="35" t="s">
        <v>230</v>
      </c>
      <c r="F48" s="51">
        <f>F35+F47</f>
        <v>3162.0177054617616</v>
      </c>
      <c r="I48" s="35" t="s">
        <v>234</v>
      </c>
      <c r="J48" s="51">
        <f>J35+J47</f>
        <v>3139.054448702042</v>
      </c>
      <c r="L48" s="34"/>
      <c r="M48" s="35" t="s">
        <v>234</v>
      </c>
      <c r="N48" s="51">
        <f>N35+N47</f>
        <v>3139.054448702042</v>
      </c>
      <c r="O48" s="34"/>
      <c r="P48" s="34"/>
      <c r="Q48" s="34"/>
    </row>
    <row r="49" spans="1:17" x14ac:dyDescent="0.25">
      <c r="A49" s="34"/>
      <c r="B49" s="34"/>
      <c r="C49" s="34"/>
      <c r="D49" s="34"/>
      <c r="E49" s="34"/>
      <c r="F49" s="34"/>
      <c r="L49" s="34"/>
      <c r="M49" s="34"/>
      <c r="N49" s="34"/>
      <c r="O49" s="34"/>
      <c r="P49" s="34"/>
      <c r="Q49" s="34"/>
    </row>
    <row r="50" spans="1:17" x14ac:dyDescent="0.25">
      <c r="A50" s="34"/>
      <c r="B50" s="34"/>
      <c r="C50" s="34"/>
      <c r="D50" s="34"/>
      <c r="E50" s="34"/>
      <c r="F50" s="34"/>
      <c r="L50" s="34"/>
      <c r="M50" s="34"/>
      <c r="N50" s="34"/>
      <c r="O50" s="34"/>
      <c r="P50" s="34"/>
      <c r="Q50" s="34"/>
    </row>
    <row r="51" spans="1:17" ht="18" customHeight="1" x14ac:dyDescent="0.35">
      <c r="A51" s="34"/>
      <c r="B51" s="34"/>
      <c r="D51" s="93" t="s">
        <v>214</v>
      </c>
      <c r="E51" s="35" t="s">
        <v>228</v>
      </c>
      <c r="F51" s="51">
        <f>$D25*(1+$E$10)*$H$13</f>
        <v>897.76422048039638</v>
      </c>
      <c r="I51" s="35" t="s">
        <v>228</v>
      </c>
      <c r="J51" s="51">
        <f>$D25*(1+$E$10)*$H$13</f>
        <v>897.76422048039638</v>
      </c>
      <c r="L51" s="34"/>
      <c r="M51" s="35" t="s">
        <v>228</v>
      </c>
      <c r="N51" s="51">
        <f>$D25*(1+$E$10)*$H$13</f>
        <v>897.76422048039638</v>
      </c>
      <c r="O51" s="34"/>
      <c r="P51" s="34"/>
      <c r="Q51" s="34"/>
    </row>
    <row r="52" spans="1:17" ht="18" x14ac:dyDescent="0.35">
      <c r="A52" s="34"/>
      <c r="B52" s="34"/>
      <c r="D52" s="93"/>
      <c r="E52" s="35" t="s">
        <v>174</v>
      </c>
      <c r="F52" s="39">
        <f>F51/((1+$E$8)^($C$25-$E$7))</f>
        <v>614.64261068432552</v>
      </c>
      <c r="I52" s="35" t="s">
        <v>174</v>
      </c>
      <c r="J52" s="39">
        <f>J51/((1+$E$8)^($C$25-$E$7))</f>
        <v>614.64261068432552</v>
      </c>
      <c r="L52" s="34"/>
      <c r="M52" s="35" t="s">
        <v>174</v>
      </c>
      <c r="N52" s="39">
        <f>N51/((1+$E$8)^($C$25-$E$7))</f>
        <v>614.64261068432552</v>
      </c>
      <c r="O52" s="34"/>
      <c r="P52" s="34"/>
      <c r="Q52" s="34"/>
    </row>
    <row r="53" spans="1:17" ht="18" x14ac:dyDescent="0.35">
      <c r="A53" s="34"/>
      <c r="B53" s="34"/>
      <c r="D53" s="93"/>
      <c r="E53" s="35" t="s">
        <v>230</v>
      </c>
      <c r="F53" s="51">
        <f>F35+F52</f>
        <v>871.40316851409466</v>
      </c>
      <c r="I53" s="35" t="s">
        <v>234</v>
      </c>
      <c r="J53" s="51">
        <f>J35+J52</f>
        <v>848.43991175437509</v>
      </c>
      <c r="L53" s="34"/>
      <c r="M53" s="35" t="s">
        <v>234</v>
      </c>
      <c r="N53" s="51">
        <f>N35+N52</f>
        <v>848.43991175437509</v>
      </c>
      <c r="O53" s="34"/>
      <c r="P53" s="34"/>
      <c r="Q53" s="34"/>
    </row>
    <row r="54" spans="1:17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17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17" ht="17.25" x14ac:dyDescent="0.25">
      <c r="A56" s="34"/>
      <c r="B56" s="34"/>
      <c r="C56" s="34"/>
      <c r="D56" s="36" t="s">
        <v>176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98"/>
      <c r="Q56" s="34"/>
    </row>
    <row r="57" spans="1:17" ht="17.25" x14ac:dyDescent="0.25">
      <c r="A57" s="34"/>
      <c r="B57" s="34"/>
      <c r="C57" s="34"/>
      <c r="D57" s="34" t="s">
        <v>211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</row>
    <row r="58" spans="1:17" ht="17.25" x14ac:dyDescent="0.25">
      <c r="A58" s="34"/>
      <c r="B58" s="34"/>
      <c r="C58" s="34"/>
      <c r="D58" s="34" t="s">
        <v>182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</row>
    <row r="59" spans="1:17" ht="17.25" x14ac:dyDescent="0.25">
      <c r="A59" s="34"/>
      <c r="B59" s="34"/>
      <c r="C59" s="34"/>
      <c r="D59" s="34" t="s">
        <v>226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  <row r="60" spans="1:17" x14ac:dyDescent="0.25">
      <c r="A60" s="34"/>
      <c r="B60" s="34"/>
      <c r="C60" s="34"/>
      <c r="D60" s="34" t="s">
        <v>183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</row>
    <row r="61" spans="1:17" x14ac:dyDescent="0.25">
      <c r="A61" s="34"/>
      <c r="B61" s="34"/>
      <c r="C61" s="34"/>
      <c r="D61" s="34" t="s">
        <v>221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</row>
    <row r="62" spans="1:17" ht="17.25" x14ac:dyDescent="0.25">
      <c r="A62" s="34"/>
      <c r="B62" s="34"/>
      <c r="C62" s="34"/>
      <c r="D62" s="34" t="s">
        <v>209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</row>
    <row r="63" spans="1:17" ht="17.25" x14ac:dyDescent="0.25">
      <c r="A63" s="34"/>
      <c r="B63" s="34"/>
      <c r="C63" s="34"/>
      <c r="D63" s="34" t="s">
        <v>205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</row>
    <row r="64" spans="1:17" ht="17.25" x14ac:dyDescent="0.25">
      <c r="D64" s="76" t="s">
        <v>208</v>
      </c>
    </row>
    <row r="65" spans="4:4" ht="17.25" x14ac:dyDescent="0.25">
      <c r="D65" s="34" t="s">
        <v>207</v>
      </c>
    </row>
    <row r="66" spans="4:4" ht="17.25" x14ac:dyDescent="0.25">
      <c r="D66" s="34" t="s">
        <v>215</v>
      </c>
    </row>
    <row r="67" spans="4:4" ht="17.25" x14ac:dyDescent="0.25">
      <c r="D67" s="34" t="s">
        <v>216</v>
      </c>
    </row>
    <row r="68" spans="4:4" ht="17.25" x14ac:dyDescent="0.25">
      <c r="D68" s="34" t="s">
        <v>235</v>
      </c>
    </row>
    <row r="69" spans="4:4" ht="17.25" x14ac:dyDescent="0.25">
      <c r="D69" s="34" t="s">
        <v>217</v>
      </c>
    </row>
    <row r="70" spans="4:4" ht="17.25" x14ac:dyDescent="0.25">
      <c r="D70" t="s">
        <v>236</v>
      </c>
    </row>
    <row r="71" spans="4:4" ht="18.75" x14ac:dyDescent="0.35">
      <c r="D71" s="34" t="s">
        <v>223</v>
      </c>
    </row>
  </sheetData>
  <mergeCells count="13">
    <mergeCell ref="D51:D53"/>
    <mergeCell ref="D41:D43"/>
    <mergeCell ref="H27:J27"/>
    <mergeCell ref="F13:G13"/>
    <mergeCell ref="C27:F27"/>
    <mergeCell ref="L27:N27"/>
    <mergeCell ref="D46:D48"/>
    <mergeCell ref="C2:P2"/>
    <mergeCell ref="C3:P3"/>
    <mergeCell ref="C4:P4"/>
    <mergeCell ref="I7:K7"/>
    <mergeCell ref="H8:K8"/>
    <mergeCell ref="I9:K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Financial Statements</vt:lpstr>
      <vt:lpstr>Concensus Estimates</vt:lpstr>
      <vt:lpstr>Tax Estimator</vt:lpstr>
      <vt:lpstr>Valuation g = IR x ROIC</vt:lpstr>
      <vt:lpstr>Valuation g = % ∆ GDP</vt:lpstr>
    </vt:vector>
  </TitlesOfParts>
  <Company>Westminster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Anyone</dc:creator>
  <cp:keywords/>
  <cp:lastModifiedBy>Anyone</cp:lastModifiedBy>
  <dcterms:created xsi:type="dcterms:W3CDTF">2016-11-14T23:10:40Z</dcterms:created>
  <dcterms:modified xsi:type="dcterms:W3CDTF">2017-04-13T15:25:59Z</dcterms:modified>
</cp:coreProperties>
</file>